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codeName="ThisWorkbook" defaultThemeVersion="124226"/>
  <mc:AlternateContent xmlns:mc="http://schemas.openxmlformats.org/markup-compatibility/2006">
    <mc:Choice Requires="x15">
      <x15ac:absPath xmlns:x15ac="http://schemas.microsoft.com/office/spreadsheetml/2010/11/ac" url="C:\Users\JERKOVS0\AppData\Roaming\OpenText\OTEdit\EC_nexus\c134693868\"/>
    </mc:Choice>
  </mc:AlternateContent>
  <xr:revisionPtr revIDLastSave="0" documentId="13_ncr:1_{125B8241-F9E7-44B4-B1EB-01517C67AE2D}" xr6:coauthVersionLast="47" xr6:coauthVersionMax="47" xr10:uidLastSave="{00000000-0000-0000-0000-000000000000}"/>
  <workbookProtection workbookAlgorithmName="SHA-512" workbookHashValue="UlkMWnab9IXzUn1Cg2OxtRdd/c6mQT8DdBR7Z6Ag04+B+NXqeoKmn8hU5w4j082tW06C1bdqk3dK7/vzxzTUNA==" workbookSaltValue="EzmBok01iJikFaP63hCBaQ==" workbookSpinCount="100000" lockStructure="1"/>
  <bookViews>
    <workbookView xWindow="-108" yWindow="-108" windowWidth="23256" windowHeight="12576" tabRatio="865" firstSheet="1" activeTab="1" xr2:uid="{00000000-000D-0000-FFFF-FFFF00000000}"/>
  </bookViews>
  <sheets>
    <sheet name="1. Status" sheetId="9" state="hidden" r:id="rId1"/>
    <sheet name="2. Application" sheetId="1" r:id="rId2"/>
    <sheet name="3. Registration" sheetId="29" state="hidden" r:id="rId3"/>
    <sheet name="4. Panel Member Index" sheetId="3" state="hidden" r:id="rId4"/>
    <sheet name="5. Review" sheetId="4" state="hidden" r:id="rId5"/>
    <sheet name="6. RRR" sheetId="6" state="hidden" r:id="rId6"/>
    <sheet name="7. Expiry Notification" sheetId="22" state="hidden" r:id="rId7"/>
    <sheet name="(admin) Drop Down Variables" sheetId="27" state="hidden" r:id="rId8"/>
    <sheet name="2020-2021 unit rates" sheetId="31" state="hidden" r:id="rId9"/>
    <sheet name="2021-2022 unit rates" sheetId="32" state="hidden" r:id="rId10"/>
  </sheets>
  <externalReferences>
    <externalReference r:id="rId11"/>
  </externalReferences>
  <definedNames>
    <definedName name="_xlnm._FilterDatabase" localSheetId="4" hidden="1">'5. Review'!$D$438:$H$518</definedName>
    <definedName name="Check1" localSheetId="1">'2. Application'!$A$6</definedName>
    <definedName name="_xlnm.Print_Area" localSheetId="7">'(admin) Drop Down Variables'!$A$1:$E$123</definedName>
    <definedName name="_xlnm.Print_Area" localSheetId="0">'1. Status'!$A$1:$K$46</definedName>
    <definedName name="_xlnm.Print_Area" localSheetId="2">'3. Registration'!$B$2:$AN$42</definedName>
    <definedName name="_xlnm.Print_Area" localSheetId="3">'4. Panel Member Index'!$D$10:$AE$19</definedName>
    <definedName name="_xlnm.Print_Area" localSheetId="4">'5. Review'!$A$1:$J$662</definedName>
    <definedName name="_xlnm.Print_Area" localSheetId="5">'6. RRR'!$D$4:$AH$69</definedName>
    <definedName name="_xlnm.Print_Area" localSheetId="6">'7. Expiry Notification'!$D$2:$AL$54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1" i="6" l="1"/>
  <c r="AO24" i="6" s="1"/>
  <c r="AO15" i="6"/>
  <c r="AO18" i="6"/>
  <c r="L9" i="6" l="1"/>
  <c r="L10" i="6" l="1"/>
  <c r="AA29" i="6" l="1"/>
  <c r="U29" i="6" s="1"/>
  <c r="AA30" i="6"/>
  <c r="U30" i="6" s="1"/>
  <c r="L29" i="6"/>
  <c r="L30" i="6"/>
  <c r="AE30" i="6" l="1"/>
  <c r="AE29" i="6"/>
  <c r="E14" i="3"/>
  <c r="P14" i="3" s="1" a="1"/>
  <c r="P14" i="3" s="1"/>
  <c r="V16" i="3"/>
  <c r="V15" i="3"/>
  <c r="D12" i="3"/>
  <c r="V18" i="3"/>
  <c r="V17" i="3"/>
  <c r="P18" i="3"/>
  <c r="P17" i="3"/>
  <c r="E18" i="3"/>
  <c r="E17" i="3"/>
  <c r="AB15" i="3" l="1"/>
  <c r="AB16" i="3"/>
  <c r="AB17" i="3"/>
  <c r="AB18" i="3"/>
  <c r="AB14" i="3"/>
  <c r="F402" i="4"/>
  <c r="C384" i="4" l="1"/>
  <c r="AJ53" i="6" l="1"/>
  <c r="AJ52" i="6"/>
  <c r="AJ67" i="6"/>
  <c r="D74" i="6"/>
  <c r="E76" i="6"/>
  <c r="Q76" i="6"/>
  <c r="AB76" i="6"/>
  <c r="AC76" i="6"/>
  <c r="AJ76" i="6" s="1"/>
  <c r="G589" i="4"/>
  <c r="G591" i="4" s="1"/>
  <c r="G577" i="4"/>
  <c r="F579" i="4" s="1"/>
  <c r="G327" i="4"/>
  <c r="G329" i="4" s="1"/>
  <c r="G312" i="4"/>
  <c r="G314" i="4" s="1"/>
  <c r="G280" i="4"/>
  <c r="G282" i="4" s="1"/>
  <c r="G268" i="4"/>
  <c r="G270" i="4" s="1"/>
  <c r="D615" i="4"/>
  <c r="B358" i="4"/>
  <c r="I40" i="9" l="1"/>
  <c r="I21" i="9"/>
  <c r="G579" i="4"/>
  <c r="F591" i="4"/>
  <c r="F329" i="4"/>
  <c r="F314" i="4"/>
  <c r="F282" i="4"/>
  <c r="F270" i="4"/>
  <c r="B6" i="4"/>
  <c r="G598" i="4"/>
  <c r="G586" i="4"/>
  <c r="F574" i="4"/>
  <c r="D306" i="4"/>
  <c r="AJ9" i="6" l="1"/>
  <c r="AJ12" i="6"/>
  <c r="AJ6" i="6"/>
  <c r="D39" i="29"/>
  <c r="G574" i="4" l="1"/>
  <c r="L37" i="29"/>
  <c r="G576" i="4" s="1"/>
  <c r="G603" i="4" l="1"/>
  <c r="Q21" i="6" l="1"/>
  <c r="L12" i="6" l="1"/>
  <c r="F4" i="9" l="1"/>
  <c r="B2" i="9"/>
  <c r="B3" i="4"/>
  <c r="C17" i="29" l="1"/>
  <c r="C13" i="29"/>
  <c r="C9" i="29"/>
  <c r="AB18" i="29"/>
  <c r="D18" i="29"/>
  <c r="D17" i="29"/>
  <c r="C27" i="29"/>
  <c r="C23" i="29"/>
  <c r="C20" i="29"/>
  <c r="AB15" i="29"/>
  <c r="AB14" i="29"/>
  <c r="AB11" i="29"/>
  <c r="AJ58" i="6" l="1"/>
  <c r="AJ57" i="6"/>
  <c r="AJ50" i="6"/>
  <c r="AJ49" i="6"/>
  <c r="G279" i="4" l="1"/>
  <c r="D630" i="4"/>
  <c r="G632" i="4" l="1"/>
  <c r="C629" i="4"/>
  <c r="G294" i="4"/>
  <c r="G289" i="4"/>
  <c r="G277" i="4"/>
  <c r="G571" i="4"/>
  <c r="G570" i="4"/>
  <c r="G569" i="4"/>
  <c r="G568" i="4"/>
  <c r="G567" i="4"/>
  <c r="G566" i="4"/>
  <c r="G565" i="4"/>
  <c r="G263" i="4"/>
  <c r="G262" i="4"/>
  <c r="G261" i="4"/>
  <c r="G260" i="4"/>
  <c r="G259" i="4"/>
  <c r="G258" i="4"/>
  <c r="G257" i="4"/>
  <c r="G647" i="4"/>
  <c r="F647" i="4"/>
  <c r="G623" i="4"/>
  <c r="F623" i="4"/>
  <c r="G608" i="4"/>
  <c r="F608" i="4"/>
  <c r="G557" i="4"/>
  <c r="F557" i="4"/>
  <c r="G525" i="4"/>
  <c r="G531" i="4"/>
  <c r="F531" i="4"/>
  <c r="F525" i="4"/>
  <c r="G431" i="4"/>
  <c r="F431" i="4"/>
  <c r="G403" i="4"/>
  <c r="F403" i="4"/>
  <c r="G402" i="4"/>
  <c r="G80" i="4" l="1"/>
  <c r="F80" i="4"/>
  <c r="G174" i="4"/>
  <c r="G180" i="4"/>
  <c r="G203" i="4"/>
  <c r="G228" i="4"/>
  <c r="G250" i="4"/>
  <c r="G299" i="4"/>
  <c r="G349" i="4"/>
  <c r="G351" i="4" s="1"/>
  <c r="G340" i="4"/>
  <c r="F340" i="4"/>
  <c r="F299" i="4"/>
  <c r="F250" i="4"/>
  <c r="F228" i="4"/>
  <c r="F203" i="4"/>
  <c r="F180" i="4"/>
  <c r="F174" i="4"/>
  <c r="H40" i="9"/>
  <c r="H21" i="9"/>
  <c r="F351" i="4" l="1"/>
  <c r="G588" i="4"/>
  <c r="F588" i="4"/>
  <c r="G575" i="4" l="1"/>
  <c r="F575" i="4"/>
  <c r="F279" i="4" l="1"/>
  <c r="F266" i="4"/>
  <c r="G266" i="4"/>
  <c r="D29" i="29" l="1"/>
  <c r="E28" i="29"/>
  <c r="D27" i="29"/>
  <c r="D25" i="29"/>
  <c r="E24" i="29"/>
  <c r="D23" i="29"/>
  <c r="AB23" i="29" s="1"/>
  <c r="D14" i="29"/>
  <c r="E10" i="29"/>
  <c r="I20" i="9" l="1"/>
  <c r="H20" i="9"/>
  <c r="I39" i="9"/>
  <c r="H39" i="9"/>
  <c r="G619" i="4" l="1"/>
  <c r="G310" i="4"/>
  <c r="G618" i="4"/>
  <c r="G309" i="4"/>
  <c r="G308" i="4" l="1"/>
  <c r="L34" i="29" l="1"/>
  <c r="L35" i="29"/>
  <c r="G375" i="4" l="1"/>
  <c r="G377" i="4" s="1"/>
  <c r="G25" i="4" l="1"/>
  <c r="G27" i="4" s="1"/>
  <c r="AA28" i="6"/>
  <c r="F27" i="4" l="1"/>
  <c r="AA27" i="6"/>
  <c r="F377" i="4" s="1"/>
  <c r="AA35" i="6" l="1"/>
  <c r="AE35" i="6" s="1"/>
  <c r="AA33" i="6" l="1"/>
  <c r="AE33" i="6" s="1"/>
  <c r="AA34" i="6"/>
  <c r="AE34" i="6" s="1"/>
  <c r="AA36" i="6"/>
  <c r="AA37" i="6"/>
  <c r="AA40" i="6"/>
  <c r="G656" i="4"/>
  <c r="G634" i="4"/>
  <c r="AA43" i="6"/>
  <c r="U43" i="6" s="1"/>
  <c r="G636" i="4" l="1"/>
  <c r="F636" i="4"/>
  <c r="F658" i="4"/>
  <c r="G658" i="4"/>
  <c r="AA41" i="6"/>
  <c r="U41" i="6" s="1"/>
  <c r="AA38" i="6"/>
  <c r="AA44" i="6"/>
  <c r="U44" i="6" s="1"/>
  <c r="AA39" i="6"/>
  <c r="AA31" i="6"/>
  <c r="U31" i="6" s="1"/>
  <c r="AA32" i="6" l="1"/>
  <c r="AE31" i="6"/>
  <c r="F370" i="4"/>
  <c r="AE32" i="6" l="1"/>
  <c r="U32" i="6"/>
  <c r="F277" i="4"/>
  <c r="E4" i="9" l="1"/>
  <c r="E24" i="9"/>
  <c r="F24" i="9"/>
  <c r="F244" i="4" l="1"/>
  <c r="F243" i="4"/>
  <c r="F242" i="4"/>
  <c r="F241" i="4"/>
  <c r="L32" i="6" l="1"/>
  <c r="U34" i="6" l="1"/>
  <c r="L31" i="6" l="1"/>
  <c r="AB21" i="29"/>
  <c r="AB25" i="29"/>
  <c r="AB29" i="29"/>
  <c r="AA26" i="6" l="1"/>
  <c r="U27" i="6"/>
  <c r="U33" i="6" l="1"/>
  <c r="U35" i="6"/>
  <c r="U37" i="6"/>
  <c r="U40" i="6"/>
  <c r="L28" i="6" l="1"/>
  <c r="AE27" i="6" l="1"/>
  <c r="AE43" i="6"/>
  <c r="AE28" i="6"/>
  <c r="AE40" i="6"/>
  <c r="AE36" i="6"/>
  <c r="AE37" i="6"/>
  <c r="K20" i="6"/>
  <c r="F18" i="4"/>
  <c r="D321" i="4" l="1"/>
  <c r="C320" i="4" s="1"/>
  <c r="E45" i="6"/>
  <c r="E25" i="6"/>
  <c r="L36" i="29"/>
  <c r="L33" i="29"/>
  <c r="L32" i="29"/>
  <c r="D36" i="29"/>
  <c r="D35" i="29"/>
  <c r="D34" i="29"/>
  <c r="D33" i="29"/>
  <c r="D32" i="29"/>
  <c r="I27" i="9"/>
  <c r="H27" i="9"/>
  <c r="I7" i="9"/>
  <c r="H7" i="9"/>
  <c r="F324" i="4" l="1"/>
  <c r="F325" i="4"/>
  <c r="F323" i="4"/>
  <c r="G325" i="4"/>
  <c r="G324" i="4"/>
  <c r="AA42" i="6"/>
  <c r="U42" i="6" s="1"/>
  <c r="G323" i="4"/>
  <c r="F15" i="4"/>
  <c r="F367" i="4"/>
  <c r="F14" i="4"/>
  <c r="F366" i="4"/>
  <c r="R29" i="6"/>
  <c r="U36" i="6"/>
  <c r="R28" i="6"/>
  <c r="R26" i="6"/>
  <c r="R34" i="6"/>
  <c r="R36" i="6"/>
  <c r="R38" i="6"/>
  <c r="R42" i="6"/>
  <c r="U28" i="6"/>
  <c r="R35" i="6"/>
  <c r="R37" i="6"/>
  <c r="R39" i="6"/>
  <c r="R41" i="6"/>
  <c r="R43" i="6"/>
  <c r="R27" i="6"/>
  <c r="R40" i="6"/>
  <c r="R44" i="6"/>
  <c r="R33" i="6"/>
  <c r="R25" i="6"/>
  <c r="AA25" i="6"/>
  <c r="U25" i="6" s="1"/>
  <c r="F16" i="4"/>
  <c r="F368" i="4"/>
  <c r="F364" i="4"/>
  <c r="F12" i="4"/>
  <c r="F365" i="4"/>
  <c r="F13" i="4"/>
  <c r="C10" i="4"/>
  <c r="C362" i="4"/>
  <c r="R30" i="6" l="1"/>
  <c r="R31" i="6"/>
  <c r="R32" i="6"/>
  <c r="D21" i="29"/>
  <c r="D20" i="29"/>
  <c r="AB20" i="29" s="1"/>
  <c r="H15" i="6" l="1"/>
  <c r="AB17" i="29"/>
  <c r="D37" i="29" l="1"/>
  <c r="D28" i="29"/>
  <c r="D24" i="29"/>
  <c r="D15" i="29"/>
  <c r="D13" i="29"/>
  <c r="AB13" i="29" s="1"/>
  <c r="U26" i="6"/>
  <c r="D11" i="29"/>
  <c r="D9" i="29"/>
  <c r="D7" i="29"/>
  <c r="AB9" i="29" l="1"/>
  <c r="AM10" i="29" s="1"/>
  <c r="AM24" i="29"/>
  <c r="D10" i="29"/>
  <c r="AE26" i="6" l="1"/>
  <c r="AM28" i="29"/>
  <c r="M63" i="3" l="1"/>
  <c r="M62" i="3"/>
  <c r="M61" i="3"/>
  <c r="M60" i="3"/>
  <c r="M59" i="3"/>
  <c r="M58" i="3"/>
  <c r="M57" i="3"/>
  <c r="M56" i="3"/>
  <c r="M55" i="3"/>
  <c r="M54" i="3"/>
  <c r="M53" i="3"/>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F552" i="4" l="1"/>
  <c r="F551" i="4"/>
  <c r="F550" i="4"/>
  <c r="F549" i="4"/>
  <c r="F548" i="4"/>
  <c r="F547" i="4"/>
  <c r="F546" i="4"/>
  <c r="F545" i="4"/>
  <c r="I41" i="9" l="1"/>
  <c r="H41" i="9"/>
  <c r="I38" i="9"/>
  <c r="H38" i="9"/>
  <c r="I37" i="9"/>
  <c r="H37" i="9"/>
  <c r="I36" i="9"/>
  <c r="H36" i="9"/>
  <c r="I35" i="9"/>
  <c r="H35" i="9"/>
  <c r="I34" i="9"/>
  <c r="H34" i="9"/>
  <c r="G41" i="9" s="1"/>
  <c r="I33" i="9"/>
  <c r="H33" i="9"/>
  <c r="I32" i="9"/>
  <c r="H32" i="9"/>
  <c r="I31" i="9"/>
  <c r="H31" i="9"/>
  <c r="I30" i="9"/>
  <c r="H30" i="9"/>
  <c r="I29" i="9"/>
  <c r="H29" i="9"/>
  <c r="I28" i="9"/>
  <c r="H28" i="9"/>
  <c r="D384" i="4" l="1"/>
  <c r="C385" i="4"/>
  <c r="F632" i="4"/>
  <c r="E552" i="4"/>
  <c r="E551" i="4"/>
  <c r="E550" i="4"/>
  <c r="E549" i="4"/>
  <c r="E548" i="4"/>
  <c r="E547" i="4"/>
  <c r="E546" i="4"/>
  <c r="E545" i="4"/>
  <c r="F634" i="4" l="1"/>
  <c r="G600" i="4"/>
  <c r="G599" i="4"/>
  <c r="F576" i="4"/>
  <c r="F573" i="4"/>
  <c r="H571" i="4"/>
  <c r="H567" i="4"/>
  <c r="H566" i="4"/>
  <c r="H570" i="4"/>
  <c r="H565" i="4"/>
  <c r="H568" i="4"/>
  <c r="H569" i="4"/>
  <c r="F570" i="4"/>
  <c r="F568" i="4"/>
  <c r="F566" i="4"/>
  <c r="F571" i="4"/>
  <c r="F569" i="4"/>
  <c r="F567" i="4"/>
  <c r="F565" i="4"/>
  <c r="G573" i="4"/>
  <c r="F618" i="4"/>
  <c r="F598" i="4"/>
  <c r="F600" i="4"/>
  <c r="F603" i="4"/>
  <c r="F619" i="4"/>
  <c r="D654" i="4"/>
  <c r="F586" i="4"/>
  <c r="F599" i="4"/>
  <c r="F601" i="4"/>
  <c r="F656" i="4"/>
  <c r="G601" i="4" l="1"/>
  <c r="E6" i="22" s="1"/>
  <c r="D347" i="4"/>
  <c r="E9" i="22" l="1"/>
  <c r="U39" i="6" l="1"/>
  <c r="F349" i="4"/>
  <c r="F310" i="4"/>
  <c r="F309" i="4"/>
  <c r="F308" i="4"/>
  <c r="F267" i="4"/>
  <c r="G267" i="4"/>
  <c r="K21" i="6" s="1"/>
  <c r="F265" i="4"/>
  <c r="H260" i="4"/>
  <c r="H263" i="4"/>
  <c r="H259" i="4"/>
  <c r="H262" i="4"/>
  <c r="H258" i="4"/>
  <c r="H261" i="4"/>
  <c r="H257" i="4"/>
  <c r="F257" i="4"/>
  <c r="F260" i="4"/>
  <c r="U38" i="6"/>
  <c r="F261" i="4"/>
  <c r="F262" i="4"/>
  <c r="F258" i="4"/>
  <c r="G265" i="4"/>
  <c r="F263" i="4"/>
  <c r="F259" i="4"/>
  <c r="G290" i="4"/>
  <c r="G291" i="4"/>
  <c r="AE44" i="6" l="1"/>
  <c r="AE41" i="6"/>
  <c r="AE38" i="6"/>
  <c r="AE39" i="6"/>
  <c r="Z22" i="22"/>
  <c r="AE42" i="6" l="1"/>
  <c r="F25" i="22"/>
  <c r="D29" i="22" l="1"/>
  <c r="Z31" i="22" l="1"/>
  <c r="Z34" i="22" s="1"/>
  <c r="F26" i="22"/>
  <c r="Z26" i="22"/>
  <c r="F32" i="22"/>
  <c r="Z28" i="22"/>
  <c r="Z32" i="22"/>
  <c r="F37" i="22" s="1"/>
  <c r="Z37" i="22" s="1"/>
  <c r="Z29" i="22"/>
  <c r="Z30" i="22"/>
  <c r="F30" i="22"/>
  <c r="F34" i="22"/>
  <c r="F31" i="22"/>
  <c r="F28" i="22"/>
  <c r="Z40" i="22" l="1"/>
  <c r="Z44" i="22"/>
  <c r="F49" i="22" s="1"/>
  <c r="Z49" i="22" s="1"/>
  <c r="Z41" i="22"/>
  <c r="Z42" i="22"/>
  <c r="F44" i="22"/>
  <c r="Z43" i="22"/>
  <c r="Z46" i="22"/>
  <c r="D41" i="22"/>
  <c r="F43" i="22"/>
  <c r="F42" i="22"/>
  <c r="F46" i="22"/>
  <c r="F40" i="22"/>
  <c r="Z38" i="22"/>
  <c r="F38" i="22"/>
  <c r="E50" i="22" l="1"/>
  <c r="F294" i="4"/>
  <c r="G292" i="4"/>
  <c r="E5" i="22" s="1"/>
  <c r="F292" i="4"/>
  <c r="F291" i="4"/>
  <c r="F290" i="4"/>
  <c r="F289" i="4"/>
  <c r="Z50" i="22" l="1"/>
  <c r="E8" i="22"/>
  <c r="I16" i="9" l="1"/>
  <c r="H15" i="9"/>
  <c r="H16" i="9" l="1"/>
  <c r="I15" i="9"/>
  <c r="I18" i="9" l="1"/>
  <c r="I19" i="9"/>
  <c r="H19" i="9"/>
  <c r="H18" i="9"/>
  <c r="I17" i="9"/>
  <c r="H17" i="9"/>
  <c r="I14" i="9"/>
  <c r="H14" i="9"/>
  <c r="G22" i="9" s="1"/>
  <c r="I13" i="9"/>
  <c r="H13" i="9"/>
  <c r="I12" i="9"/>
  <c r="H12" i="9"/>
  <c r="I11" i="9"/>
  <c r="H11" i="9"/>
  <c r="I9" i="9"/>
  <c r="H9" i="9"/>
  <c r="E241" i="4"/>
  <c r="D70" i="4"/>
  <c r="D61" i="4"/>
  <c r="D52" i="4"/>
  <c r="D43" i="4"/>
  <c r="C70" i="4"/>
  <c r="C71" i="4" s="1"/>
  <c r="C61" i="4"/>
  <c r="C62" i="4" s="1"/>
  <c r="C52" i="4"/>
  <c r="C53" i="4" s="1"/>
  <c r="C43" i="4"/>
  <c r="C44" i="4" s="1"/>
  <c r="D34" i="4"/>
  <c r="C34" i="4"/>
  <c r="C35" i="4" s="1"/>
  <c r="E242" i="4" l="1"/>
  <c r="E244" i="4"/>
  <c r="E243" i="4"/>
  <c r="I22" i="9" l="1"/>
  <c r="H22" i="9"/>
  <c r="I10" i="9"/>
  <c r="H10" i="9"/>
  <c r="I8" i="9"/>
  <c r="H8" i="9"/>
  <c r="AE25" i="6" l="1"/>
  <c r="L6"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<sst xmlns="http://schemas.openxmlformats.org/spreadsheetml/2006/main" count="1606" uniqueCount="568">
  <si>
    <t>Items</t>
  </si>
  <si>
    <t>Status</t>
  </si>
  <si>
    <t>Date Completed</t>
  </si>
  <si>
    <r>
      <rPr>
        <b/>
        <i/>
        <sz val="12"/>
        <color theme="1"/>
        <rFont val="Arial"/>
        <family val="2"/>
      </rPr>
      <t>Application Form</t>
    </r>
    <r>
      <rPr>
        <sz val="12"/>
        <color theme="1"/>
        <rFont val="Arial"/>
        <family val="2"/>
      </rPr>
      <t xml:space="preserve"> registered in NEXUS</t>
    </r>
  </si>
  <si>
    <r>
      <rPr>
        <b/>
        <i/>
        <sz val="12"/>
        <color theme="1"/>
        <rFont val="Arial"/>
        <family val="2"/>
      </rPr>
      <t>Index Sheet</t>
    </r>
    <r>
      <rPr>
        <sz val="12"/>
        <color theme="1"/>
        <rFont val="Arial"/>
        <family val="2"/>
      </rPr>
      <t xml:space="preserve"> created</t>
    </r>
  </si>
  <si>
    <r>
      <rPr>
        <b/>
        <i/>
        <sz val="12"/>
        <color theme="1"/>
        <rFont val="Arial"/>
        <family val="2"/>
      </rPr>
      <t>Review Sheet</t>
    </r>
    <r>
      <rPr>
        <sz val="12"/>
        <color theme="1"/>
        <rFont val="Arial"/>
        <family val="2"/>
      </rPr>
      <t xml:space="preserve">: </t>
    </r>
    <r>
      <rPr>
        <sz val="12"/>
        <color rgb="FF3333FF"/>
        <rFont val="Arial"/>
        <family val="2"/>
      </rPr>
      <t>Part 1 - Review of any new or historical information received by the Water Corporation</t>
    </r>
  </si>
  <si>
    <r>
      <rPr>
        <b/>
        <i/>
        <sz val="12"/>
        <color theme="1"/>
        <rFont val="Arial"/>
        <family val="2"/>
      </rPr>
      <t>Review Sheet</t>
    </r>
    <r>
      <rPr>
        <sz val="12"/>
        <color theme="1"/>
        <rFont val="Arial"/>
        <family val="2"/>
      </rPr>
      <t xml:space="preserve">: </t>
    </r>
    <r>
      <rPr>
        <sz val="12"/>
        <color rgb="FF3333FF"/>
        <rFont val="Arial"/>
        <family val="2"/>
      </rPr>
      <t>Part 2 - Drafting of Summary Reply to Applicant (and processing Applicant reply to Summary)</t>
    </r>
  </si>
  <si>
    <r>
      <rPr>
        <b/>
        <i/>
        <sz val="12"/>
        <color theme="1"/>
        <rFont val="Arial"/>
        <family val="2"/>
      </rPr>
      <t>Review Sheet</t>
    </r>
    <r>
      <rPr>
        <sz val="12"/>
        <color theme="1"/>
        <rFont val="Arial"/>
        <family val="2"/>
      </rPr>
      <t xml:space="preserve">: </t>
    </r>
    <r>
      <rPr>
        <sz val="12"/>
        <color rgb="FF3333FF"/>
        <rFont val="Arial"/>
        <family val="2"/>
      </rPr>
      <t>Part 3 - Summary Proposal from Review Team</t>
    </r>
  </si>
  <si>
    <r>
      <rPr>
        <b/>
        <i/>
        <sz val="12"/>
        <color theme="1"/>
        <rFont val="Arial"/>
        <family val="2"/>
      </rPr>
      <t>Review Sheet</t>
    </r>
    <r>
      <rPr>
        <sz val="12"/>
        <color theme="1"/>
        <rFont val="Arial"/>
        <family val="2"/>
      </rPr>
      <t xml:space="preserve">: </t>
    </r>
    <r>
      <rPr>
        <sz val="12"/>
        <color rgb="FF3333FF"/>
        <rFont val="Arial"/>
        <family val="2"/>
      </rPr>
      <t>Part 4 - Final Recommendation to Manager C&amp;IS from Review Team</t>
    </r>
  </si>
  <si>
    <r>
      <rPr>
        <b/>
        <i/>
        <sz val="12"/>
        <color theme="1"/>
        <rFont val="Arial"/>
        <family val="2"/>
      </rPr>
      <t>Review Sheet</t>
    </r>
    <r>
      <rPr>
        <sz val="12"/>
        <color theme="1"/>
        <rFont val="Arial"/>
        <family val="2"/>
      </rPr>
      <t xml:space="preserve">: </t>
    </r>
    <r>
      <rPr>
        <sz val="12"/>
        <color rgb="FF3333FF"/>
        <rFont val="Arial"/>
        <family val="2"/>
      </rPr>
      <t>Part 5 - Manager Commercial and Industrial Services Final Review</t>
    </r>
  </si>
  <si>
    <r>
      <rPr>
        <b/>
        <i/>
        <sz val="12"/>
        <color theme="1"/>
        <rFont val="Arial"/>
        <family val="2"/>
      </rPr>
      <t>Review Sheet</t>
    </r>
    <r>
      <rPr>
        <sz val="12"/>
        <color theme="1"/>
        <rFont val="Arial"/>
        <family val="2"/>
      </rPr>
      <t xml:space="preserve">: </t>
    </r>
    <r>
      <rPr>
        <sz val="12"/>
        <color rgb="FF3333FF"/>
        <rFont val="Arial"/>
        <family val="2"/>
      </rPr>
      <t>Part 6 - (If approved) Drafting of Approval Certificate</t>
    </r>
  </si>
  <si>
    <r>
      <rPr>
        <b/>
        <i/>
        <sz val="12"/>
        <color theme="1"/>
        <rFont val="Arial"/>
        <family val="2"/>
      </rPr>
      <t>Review Sheet</t>
    </r>
    <r>
      <rPr>
        <sz val="12"/>
        <color theme="1"/>
        <rFont val="Arial"/>
        <family val="2"/>
      </rPr>
      <t xml:space="preserve">: </t>
    </r>
    <r>
      <rPr>
        <sz val="12"/>
        <color rgb="FF3333FF"/>
        <rFont val="Arial"/>
        <family val="2"/>
      </rPr>
      <t>Part 7 - Draft Approval Certificate and Finalisation Comments Sent to Applicant for Review Before Final Approval</t>
    </r>
  </si>
  <si>
    <r>
      <rPr>
        <b/>
        <i/>
        <sz val="12"/>
        <color theme="1"/>
        <rFont val="Arial"/>
        <family val="2"/>
      </rPr>
      <t>Review Sheet</t>
    </r>
    <r>
      <rPr>
        <sz val="12"/>
        <color theme="1"/>
        <rFont val="Arial"/>
        <family val="2"/>
      </rPr>
      <t xml:space="preserve">: </t>
    </r>
    <r>
      <rPr>
        <sz val="12"/>
        <color rgb="FF3333FF"/>
        <rFont val="Arial"/>
        <family val="2"/>
      </rPr>
      <t>Part 8 - Final Reply Sent to Applicant</t>
    </r>
  </si>
  <si>
    <r>
      <rPr>
        <b/>
        <i/>
        <sz val="12"/>
        <color theme="1"/>
        <rFont val="Arial"/>
        <family val="2"/>
      </rPr>
      <t>Review Sheet</t>
    </r>
    <r>
      <rPr>
        <sz val="12"/>
        <color theme="1"/>
        <rFont val="Arial"/>
        <family val="2"/>
      </rPr>
      <t xml:space="preserve">: </t>
    </r>
    <r>
      <rPr>
        <sz val="12"/>
        <color rgb="FF3333FF"/>
        <rFont val="Arial"/>
        <family val="2"/>
      </rPr>
      <t>Part 9 - Request for Web Page Update</t>
    </r>
  </si>
  <si>
    <r>
      <rPr>
        <b/>
        <i/>
        <sz val="12"/>
        <color theme="1"/>
        <rFont val="Arial"/>
        <family val="2"/>
      </rPr>
      <t>Review Sheet</t>
    </r>
    <r>
      <rPr>
        <sz val="12"/>
        <color theme="1"/>
        <rFont val="Arial"/>
        <family val="2"/>
      </rPr>
      <t xml:space="preserve">: </t>
    </r>
    <r>
      <rPr>
        <sz val="12"/>
        <color rgb="FF3333FF"/>
        <rFont val="Arial"/>
        <family val="2"/>
      </rPr>
      <t>Part 10 - Request for MIDAS Update</t>
    </r>
  </si>
  <si>
    <r>
      <rPr>
        <b/>
        <i/>
        <sz val="12"/>
        <color theme="1"/>
        <rFont val="Arial"/>
        <family val="2"/>
      </rPr>
      <t>Review Sheet</t>
    </r>
    <r>
      <rPr>
        <sz val="12"/>
        <color theme="1"/>
        <rFont val="Arial"/>
        <family val="2"/>
      </rPr>
      <t xml:space="preserve">: </t>
    </r>
    <r>
      <rPr>
        <sz val="12"/>
        <color rgb="FF3333FF"/>
        <rFont val="Arial"/>
        <family val="2"/>
      </rPr>
      <t>Part 11 - General Communication and Feedback</t>
    </r>
  </si>
  <si>
    <r>
      <rPr>
        <b/>
        <i/>
        <sz val="12"/>
        <color theme="1"/>
        <rFont val="Arial"/>
        <family val="2"/>
      </rPr>
      <t>Review Sheet</t>
    </r>
    <r>
      <rPr>
        <sz val="12"/>
        <color theme="1"/>
        <rFont val="Arial"/>
        <family val="2"/>
      </rPr>
      <t xml:space="preserve">: </t>
    </r>
    <r>
      <rPr>
        <sz val="12"/>
        <color rgb="FF3333FF"/>
        <rFont val="Arial"/>
        <family val="2"/>
      </rPr>
      <t>Part 12 - Request to Raise Revenue</t>
    </r>
  </si>
  <si>
    <r>
      <rPr>
        <b/>
        <i/>
        <sz val="12"/>
        <color theme="1"/>
        <rFont val="Arial"/>
        <family val="2"/>
      </rPr>
      <t>RRR Sheet</t>
    </r>
    <r>
      <rPr>
        <sz val="12"/>
        <color theme="1"/>
        <rFont val="Arial"/>
        <family val="2"/>
      </rPr>
      <t xml:space="preserve">: </t>
    </r>
    <r>
      <rPr>
        <sz val="12"/>
        <color rgb="FF3333FF"/>
        <rFont val="Arial"/>
        <family val="2"/>
      </rPr>
      <t>Part 13 - Request to Raise Revenue</t>
    </r>
  </si>
  <si>
    <r>
      <rPr>
        <b/>
        <i/>
        <sz val="12"/>
        <color theme="1"/>
        <rFont val="Arial"/>
        <family val="2"/>
      </rPr>
      <t>Expiry Notification</t>
    </r>
    <r>
      <rPr>
        <sz val="12"/>
        <color theme="1"/>
        <rFont val="Arial"/>
        <family val="2"/>
      </rPr>
      <t xml:space="preserve"> </t>
    </r>
  </si>
  <si>
    <r>
      <rPr>
        <b/>
        <i/>
        <sz val="12"/>
        <color theme="1"/>
        <rFont val="Arial"/>
        <family val="2"/>
      </rPr>
      <t>Review Sheet</t>
    </r>
    <r>
      <rPr>
        <sz val="12"/>
        <color theme="1"/>
        <rFont val="Arial"/>
        <family val="2"/>
      </rPr>
      <t xml:space="preserve">: </t>
    </r>
    <r>
      <rPr>
        <sz val="12"/>
        <color rgb="FF3333FF"/>
        <rFont val="Arial"/>
        <family val="2"/>
      </rPr>
      <t>Part 2 - Summary Proposal for the Review Team to Consider</t>
    </r>
  </si>
  <si>
    <r>
      <rPr>
        <b/>
        <i/>
        <sz val="12"/>
        <color theme="1"/>
        <rFont val="Arial"/>
        <family val="2"/>
      </rPr>
      <t>Review Sheet</t>
    </r>
    <r>
      <rPr>
        <sz val="12"/>
        <color theme="1"/>
        <rFont val="Arial"/>
        <family val="2"/>
      </rPr>
      <t xml:space="preserve">: </t>
    </r>
    <r>
      <rPr>
        <sz val="12"/>
        <color rgb="FF3333FF"/>
        <rFont val="Arial"/>
        <family val="2"/>
      </rPr>
      <t>Part 3 - Drafting of Summary Reply to Applicant (and processing Applicant reply to Summary)</t>
    </r>
  </si>
  <si>
    <r>
      <rPr>
        <b/>
        <i/>
        <sz val="12"/>
        <color theme="1"/>
        <rFont val="Arial"/>
        <family val="2"/>
      </rPr>
      <t>Review Sheet</t>
    </r>
    <r>
      <rPr>
        <sz val="12"/>
        <color theme="1"/>
        <rFont val="Arial"/>
        <family val="2"/>
      </rPr>
      <t xml:space="preserve">: </t>
    </r>
    <r>
      <rPr>
        <sz val="12"/>
        <color rgb="FF3333FF"/>
        <rFont val="Arial"/>
        <family val="2"/>
      </rPr>
      <t>Part 4 - Final Consideration by Investigations Team Leader to Reject or Proceed with Ongoing Approval</t>
    </r>
  </si>
  <si>
    <r>
      <rPr>
        <b/>
        <i/>
        <sz val="12"/>
        <color theme="1"/>
        <rFont val="Arial"/>
        <family val="2"/>
      </rPr>
      <t>Review Sheet</t>
    </r>
    <r>
      <rPr>
        <sz val="12"/>
        <color theme="1"/>
        <rFont val="Arial"/>
        <family val="2"/>
      </rPr>
      <t xml:space="preserve">: </t>
    </r>
    <r>
      <rPr>
        <sz val="12"/>
        <color rgb="FF3333FF"/>
        <rFont val="Arial"/>
        <family val="2"/>
      </rPr>
      <t>Part 5 - (If approved) Drafting of Approval Certificate</t>
    </r>
  </si>
  <si>
    <r>
      <rPr>
        <b/>
        <i/>
        <sz val="12"/>
        <color theme="1"/>
        <rFont val="Arial"/>
        <family val="2"/>
      </rPr>
      <t>Review Sheet</t>
    </r>
    <r>
      <rPr>
        <sz val="12"/>
        <color theme="1"/>
        <rFont val="Arial"/>
        <family val="2"/>
      </rPr>
      <t xml:space="preserve">: </t>
    </r>
    <r>
      <rPr>
        <sz val="12"/>
        <color rgb="FF3333FF"/>
        <rFont val="Arial"/>
        <family val="2"/>
      </rPr>
      <t>Part 6 - Draft Approval Certificate and Finalisation Comments Sent to Applicant for Review Before Final Approval</t>
    </r>
  </si>
  <si>
    <r>
      <rPr>
        <b/>
        <i/>
        <sz val="12"/>
        <color theme="1"/>
        <rFont val="Arial"/>
        <family val="2"/>
      </rPr>
      <t>Review Sheet</t>
    </r>
    <r>
      <rPr>
        <sz val="12"/>
        <color theme="1"/>
        <rFont val="Arial"/>
        <family val="2"/>
      </rPr>
      <t xml:space="preserve">: </t>
    </r>
    <r>
      <rPr>
        <sz val="12"/>
        <color rgb="FF3333FF"/>
        <rFont val="Arial"/>
        <family val="2"/>
      </rPr>
      <t>Part 7 - Final Reply Sent to Applicant</t>
    </r>
  </si>
  <si>
    <r>
      <rPr>
        <b/>
        <i/>
        <sz val="12"/>
        <color theme="1"/>
        <rFont val="Arial"/>
        <family val="2"/>
      </rPr>
      <t>Review Sheet</t>
    </r>
    <r>
      <rPr>
        <sz val="12"/>
        <color theme="1"/>
        <rFont val="Arial"/>
        <family val="2"/>
      </rPr>
      <t xml:space="preserve">: </t>
    </r>
    <r>
      <rPr>
        <sz val="12"/>
        <color rgb="FF3333FF"/>
        <rFont val="Arial"/>
        <family val="2"/>
      </rPr>
      <t>Part 8 - Request for Web Page Update</t>
    </r>
  </si>
  <si>
    <r>
      <rPr>
        <b/>
        <i/>
        <sz val="12"/>
        <color theme="1"/>
        <rFont val="Arial"/>
        <family val="2"/>
      </rPr>
      <t>Review Sheet</t>
    </r>
    <r>
      <rPr>
        <sz val="12"/>
        <color theme="1"/>
        <rFont val="Arial"/>
        <family val="2"/>
      </rPr>
      <t xml:space="preserve">: </t>
    </r>
    <r>
      <rPr>
        <sz val="12"/>
        <color rgb="FF3333FF"/>
        <rFont val="Arial"/>
        <family val="2"/>
      </rPr>
      <t>Part 9 - Request for MIDAS Update</t>
    </r>
  </si>
  <si>
    <r>
      <rPr>
        <b/>
        <i/>
        <sz val="12"/>
        <color theme="1"/>
        <rFont val="Arial"/>
        <family val="2"/>
      </rPr>
      <t>Review Sheet</t>
    </r>
    <r>
      <rPr>
        <sz val="12"/>
        <color theme="1"/>
        <rFont val="Arial"/>
        <family val="2"/>
      </rPr>
      <t xml:space="preserve">: </t>
    </r>
    <r>
      <rPr>
        <sz val="12"/>
        <color rgb="FF3333FF"/>
        <rFont val="Arial"/>
        <family val="2"/>
      </rPr>
      <t>Part 10 - General Communication and Feedback</t>
    </r>
  </si>
  <si>
    <r>
      <rPr>
        <b/>
        <i/>
        <sz val="12"/>
        <color theme="1"/>
        <rFont val="Arial"/>
        <family val="2"/>
      </rPr>
      <t>Review Sheet</t>
    </r>
    <r>
      <rPr>
        <sz val="12"/>
        <color theme="1"/>
        <rFont val="Arial"/>
        <family val="2"/>
      </rPr>
      <t xml:space="preserve">: </t>
    </r>
    <r>
      <rPr>
        <sz val="12"/>
        <color rgb="FF3333FF"/>
        <rFont val="Arial"/>
        <family val="2"/>
      </rPr>
      <t>Part 11 - Request to Raise Revenue</t>
    </r>
  </si>
  <si>
    <r>
      <rPr>
        <b/>
        <i/>
        <sz val="12"/>
        <color theme="1"/>
        <rFont val="Arial"/>
        <family val="2"/>
      </rPr>
      <t>RRR Sheet</t>
    </r>
    <r>
      <rPr>
        <sz val="12"/>
        <color theme="1"/>
        <rFont val="Arial"/>
        <family val="2"/>
      </rPr>
      <t xml:space="preserve">: </t>
    </r>
    <r>
      <rPr>
        <sz val="12"/>
        <color rgb="FF3333FF"/>
        <rFont val="Arial"/>
        <family val="2"/>
      </rPr>
      <t>Part 12 - Request to Raise Revenue</t>
    </r>
  </si>
  <si>
    <t xml:space="preserve">Expiry Notification </t>
  </si>
  <si>
    <r>
      <rPr>
        <b/>
        <sz val="5"/>
        <color rgb="FF084976"/>
        <rFont val="Verdana"/>
        <family val="2"/>
      </rPr>
      <t xml:space="preserve">
</t>
    </r>
    <r>
      <rPr>
        <b/>
        <sz val="18"/>
        <color rgb="FF084976"/>
        <rFont val="Verdana"/>
        <family val="2"/>
      </rPr>
      <t>Trade Waste Pre-Treatment Product (Re)Application Form</t>
    </r>
    <r>
      <rPr>
        <b/>
        <sz val="4"/>
        <color rgb="FF084976"/>
        <rFont val="Verdana"/>
        <family val="2"/>
      </rPr>
      <t xml:space="preserve">
</t>
    </r>
  </si>
  <si>
    <r>
      <t>1.</t>
    </r>
    <r>
      <rPr>
        <b/>
        <sz val="7"/>
        <color rgb="FF4D4D4D"/>
        <rFont val="Times New Roman"/>
        <family val="1"/>
      </rPr>
      <t xml:space="preserve">    </t>
    </r>
    <r>
      <rPr>
        <b/>
        <sz val="9.5"/>
        <color rgb="FF4D4D4D"/>
        <rFont val="Verdana"/>
        <family val="2"/>
      </rPr>
      <t>Application type</t>
    </r>
    <r>
      <rPr>
        <b/>
        <sz val="10"/>
        <color rgb="FF4D4D4D"/>
        <rFont val="Verdana"/>
        <family val="2"/>
      </rPr>
      <t xml:space="preserve"> </t>
    </r>
    <r>
      <rPr>
        <sz val="8"/>
        <color rgb="FF4D4D4D"/>
        <rFont val="Verdana"/>
        <family val="2"/>
      </rPr>
      <t>(select one option only)</t>
    </r>
  </si>
  <si>
    <t xml:space="preserve">New makes and models of products NEVER before assessed by Water Corporation: </t>
  </si>
  <si>
    <t xml:space="preserve">Addition of new models to existing products previously assessed and approved by Water Corporation: </t>
  </si>
  <si>
    <t xml:space="preserve">Reappraisal of existing products with new changes made since previous approval undertaken by Water Corporation: </t>
  </si>
  <si>
    <t xml:space="preserve">Reappraisal of expiring / expired products with no changes made since previous approval undertaken by Water Corporation: </t>
  </si>
  <si>
    <r>
      <t>2.</t>
    </r>
    <r>
      <rPr>
        <b/>
        <sz val="7"/>
        <color rgb="FF4D4D4D"/>
        <rFont val="Times New Roman"/>
        <family val="1"/>
      </rPr>
      <t xml:space="preserve">    </t>
    </r>
    <r>
      <rPr>
        <b/>
        <sz val="9.5"/>
        <color rgb="FF4D4D4D"/>
        <rFont val="Verdana"/>
        <family val="2"/>
      </rPr>
      <t>Applicant details</t>
    </r>
  </si>
  <si>
    <t>Business name:</t>
  </si>
  <si>
    <t>enter here</t>
  </si>
  <si>
    <t>Postal address:</t>
  </si>
  <si>
    <t>Contact name:</t>
  </si>
  <si>
    <t>E-mail:</t>
  </si>
  <si>
    <t>Phone:</t>
  </si>
  <si>
    <r>
      <t>3.</t>
    </r>
    <r>
      <rPr>
        <b/>
        <sz val="7"/>
        <color rgb="FF4D4D4D"/>
        <rFont val="Times New Roman"/>
        <family val="1"/>
      </rPr>
      <t xml:space="preserve">    </t>
    </r>
    <r>
      <rPr>
        <b/>
        <sz val="9.5"/>
        <color rgb="FF4D4D4D"/>
        <rFont val="Verdana"/>
        <family val="2"/>
      </rPr>
      <t>Billing details</t>
    </r>
  </si>
  <si>
    <t>enter here (NOT 'as above')</t>
  </si>
  <si>
    <r>
      <t>4.</t>
    </r>
    <r>
      <rPr>
        <b/>
        <sz val="7"/>
        <color rgb="FF4D4D4D"/>
        <rFont val="Times New Roman"/>
        <family val="1"/>
      </rPr>
      <t xml:space="preserve">    </t>
    </r>
    <r>
      <rPr>
        <b/>
        <sz val="9.5"/>
        <color rgb="FF4D4D4D"/>
        <rFont val="Verdana"/>
        <family val="2"/>
      </rPr>
      <t>Manufacturer details</t>
    </r>
  </si>
  <si>
    <r>
      <t>5.</t>
    </r>
    <r>
      <rPr>
        <b/>
        <sz val="7"/>
        <color rgb="FF4D4D4D"/>
        <rFont val="Times New Roman"/>
        <family val="1"/>
      </rPr>
      <t xml:space="preserve">    </t>
    </r>
    <r>
      <rPr>
        <b/>
        <sz val="9.5"/>
        <color rgb="FF4D4D4D"/>
        <rFont val="Verdana"/>
        <family val="2"/>
      </rPr>
      <t>Country of origin</t>
    </r>
    <r>
      <rPr>
        <b/>
        <sz val="10"/>
        <color rgb="FF4D4D4D"/>
        <rFont val="Verdana"/>
        <family val="2"/>
      </rPr>
      <t xml:space="preserve"> </t>
    </r>
    <r>
      <rPr>
        <sz val="8"/>
        <color rgb="FF4D4D4D"/>
        <rFont val="Verdana"/>
        <family val="2"/>
      </rPr>
      <t>(if not manufactured in Australia)</t>
    </r>
  </si>
  <si>
    <r>
      <t>6.</t>
    </r>
    <r>
      <rPr>
        <b/>
        <sz val="7"/>
        <color rgb="FF4D4D4D"/>
        <rFont val="Times New Roman"/>
        <family val="1"/>
      </rPr>
      <t xml:space="preserve">    </t>
    </r>
    <r>
      <rPr>
        <b/>
        <sz val="9.5"/>
        <color rgb="FF4D4D4D"/>
        <rFont val="Verdana"/>
        <family val="2"/>
      </rPr>
      <t>State of origin</t>
    </r>
    <r>
      <rPr>
        <b/>
        <sz val="10"/>
        <color rgb="FF4D4D4D"/>
        <rFont val="Verdana"/>
        <family val="2"/>
      </rPr>
      <t xml:space="preserve"> </t>
    </r>
    <r>
      <rPr>
        <sz val="8"/>
        <color rgb="FF4D4D4D"/>
        <rFont val="Verdana"/>
        <family val="2"/>
      </rPr>
      <t>(State of first point of entry into Australia if manufactured overseas)</t>
    </r>
  </si>
  <si>
    <r>
      <t>7.</t>
    </r>
    <r>
      <rPr>
        <b/>
        <sz val="7"/>
        <color rgb="FF4D4D4D"/>
        <rFont val="Times New Roman"/>
        <family val="1"/>
      </rPr>
      <t xml:space="preserve">    </t>
    </r>
    <r>
      <rPr>
        <b/>
        <sz val="9.5"/>
        <color rgb="FF4D4D4D"/>
        <rFont val="Verdana"/>
        <family val="2"/>
      </rPr>
      <t>Local distributor details</t>
    </r>
  </si>
  <si>
    <r>
      <t>8.</t>
    </r>
    <r>
      <rPr>
        <b/>
        <sz val="7"/>
        <color rgb="FF4D4D4D"/>
        <rFont val="Times New Roman"/>
        <family val="1"/>
      </rPr>
      <t xml:space="preserve">    </t>
    </r>
    <r>
      <rPr>
        <b/>
        <sz val="9.5"/>
        <color rgb="FF4D4D4D"/>
        <rFont val="Verdana"/>
        <family val="2"/>
      </rPr>
      <t>Product description and intended application</t>
    </r>
    <r>
      <rPr>
        <b/>
        <sz val="10"/>
        <color rgb="FF4D4D4D"/>
        <rFont val="Verdana"/>
        <family val="2"/>
      </rPr>
      <t xml:space="preserve"> </t>
    </r>
    <r>
      <rPr>
        <sz val="8"/>
        <color rgb="FF4D4D4D"/>
        <rFont val="Verdana"/>
        <family val="2"/>
      </rPr>
      <t>(List or attach separately all makes / models seeking approval)</t>
    </r>
  </si>
  <si>
    <t>enter here
(where applicable - please also advise if the products are to be installed above ground only, below ground only, or can be installed both above and below ground)</t>
  </si>
  <si>
    <r>
      <t>9.</t>
    </r>
    <r>
      <rPr>
        <b/>
        <sz val="7"/>
        <color rgb="FF4D4D4D"/>
        <rFont val="Times New Roman"/>
        <family val="1"/>
      </rPr>
      <t xml:space="preserve">    </t>
    </r>
    <r>
      <rPr>
        <b/>
        <sz val="9.5"/>
        <color rgb="FF4D4D4D"/>
        <rFont val="Verdana"/>
        <family val="2"/>
      </rPr>
      <t>References</t>
    </r>
    <r>
      <rPr>
        <b/>
        <sz val="10"/>
        <color rgb="FF4D4D4D"/>
        <rFont val="Verdana"/>
        <family val="2"/>
      </rPr>
      <t xml:space="preserve"> </t>
    </r>
    <r>
      <rPr>
        <sz val="8"/>
        <color rgb="FF4D4D4D"/>
        <rFont val="Verdana"/>
        <family val="2"/>
      </rPr>
      <t>(The product is manufactured and tested in accordance with the following)</t>
    </r>
  </si>
  <si>
    <t>Standards:</t>
  </si>
  <si>
    <t>Test documents/certificates:</t>
  </si>
  <si>
    <t>Assessment report number/s:</t>
  </si>
  <si>
    <t>Material safety data sheets:</t>
  </si>
  <si>
    <t>Trade Waste Pre-Treatment Product (Re)Application Form (continued)</t>
  </si>
  <si>
    <r>
      <t>10.</t>
    </r>
    <r>
      <rPr>
        <b/>
        <sz val="7"/>
        <color rgb="FF4D4D4D"/>
        <rFont val="Times New Roman"/>
        <family val="1"/>
      </rPr>
      <t xml:space="preserve">    </t>
    </r>
    <r>
      <rPr>
        <b/>
        <sz val="9.5"/>
        <color rgb="FF4D4D4D"/>
        <rFont val="Verdana"/>
        <family val="2"/>
      </rPr>
      <t>Documentation checklist</t>
    </r>
    <r>
      <rPr>
        <b/>
        <sz val="10"/>
        <color rgb="FF4D4D4D"/>
        <rFont val="Verdana"/>
        <family val="2"/>
      </rPr>
      <t xml:space="preserve"> </t>
    </r>
    <r>
      <rPr>
        <sz val="8"/>
        <color rgb="FF4D4D4D"/>
        <rFont val="Verdana"/>
        <family val="2"/>
      </rPr>
      <t>(Before submitting this application please make sure the following have been attached)</t>
    </r>
  </si>
  <si>
    <t>●</t>
  </si>
  <si>
    <t>Installation, operation and maintenance manuals.</t>
  </si>
  <si>
    <t xml:space="preserve">  Yes:  </t>
  </si>
  <si>
    <t xml:space="preserve">  No:  </t>
  </si>
  <si>
    <t>Sound scientific / engineering validation data demonstrating claimed product performance.</t>
  </si>
  <si>
    <t>Technical / engineering drawings illustrating scaled dimensions, plumbing pipework and electrical wiring, where relevant (supplied as PDFs and not in DWG format).</t>
  </si>
  <si>
    <t>Current engineering certification to relevant Australian and/or International standards.</t>
  </si>
  <si>
    <t>Current quality manufacturing systems certification (such as ISO9001).</t>
  </si>
  <si>
    <t>Previous approval certification from other Australian water utilities.</t>
  </si>
  <si>
    <t>If chemical based, instructions for use, including the quantities to be used, for all uses recommended by the manufacturer.</t>
  </si>
  <si>
    <t>Material Safety Data Sheets</t>
  </si>
  <si>
    <r>
      <t>11.</t>
    </r>
    <r>
      <rPr>
        <b/>
        <sz val="7"/>
        <color rgb="FF4D4D4D"/>
        <rFont val="Times New Roman"/>
        <family val="1"/>
      </rPr>
      <t xml:space="preserve">    </t>
    </r>
    <r>
      <rPr>
        <b/>
        <sz val="9.5"/>
        <color rgb="FF4D4D4D"/>
        <rFont val="Verdana"/>
        <family val="2"/>
      </rPr>
      <t>Publically available information</t>
    </r>
  </si>
  <si>
    <r>
      <t xml:space="preserve">If the product is approved an </t>
    </r>
    <r>
      <rPr>
        <i/>
        <sz val="8.5"/>
        <color rgb="FF4D4D4D"/>
        <rFont val="Verdana"/>
        <family val="2"/>
      </rPr>
      <t>Approval Certificate</t>
    </r>
    <r>
      <rPr>
        <sz val="8.5"/>
        <color rgb="FF4D4D4D"/>
        <rFont val="Verdana"/>
        <family val="2"/>
      </rPr>
      <t xml:space="preserve"> containing non-proprietary information shall be issued.  </t>
    </r>
    <r>
      <rPr>
        <i/>
        <sz val="8.5"/>
        <color rgb="FF4D4D4D"/>
        <rFont val="Verdana"/>
        <family val="2"/>
      </rPr>
      <t>Approval Certificates</t>
    </r>
    <r>
      <rPr>
        <sz val="8.5"/>
        <color rgb="FF4D4D4D"/>
        <rFont val="Verdana"/>
        <family val="2"/>
      </rPr>
      <t xml:space="preserve"> will be publically available via Water Corporation’s website.</t>
    </r>
  </si>
  <si>
    <r>
      <t>12.</t>
    </r>
    <r>
      <rPr>
        <b/>
        <sz val="7"/>
        <color rgb="FF4D4D4D"/>
        <rFont val="Times New Roman"/>
        <family val="1"/>
      </rPr>
      <t xml:space="preserve">    </t>
    </r>
    <r>
      <rPr>
        <b/>
        <sz val="9.5"/>
        <color rgb="FF4D4D4D"/>
        <rFont val="Verdana"/>
        <family val="2"/>
      </rPr>
      <t>Declaration and Authority to Proceed</t>
    </r>
  </si>
  <si>
    <t>I, the undersigned:</t>
  </si>
  <si>
    <t>Certify that, to the best of my knowledge, the information disclosed hereon is correct.</t>
  </si>
  <si>
    <t>Understand that new make and model assessments normally takes 8 hours to complete and that there is a charge of up to $1,576.32 at 2024/25 unit rates to recover the costs.  The number of hours may increase or decrease as a result of this request.</t>
  </si>
  <si>
    <t>Understand that reappraisals of existing makes and models normally takes 6 hours to complete and that there is a charge of up to $1,182.24 at 2024/25 unit rates to recover the costs.  The number of hours may increase or decrease as a result of this request.</t>
  </si>
  <si>
    <t>Understand that when an application has been rejected and the time spent is more than 1 hour then a recovery charge of $197.04 per hour at 2024/25 unit rates will apply to all charges accrued up to the date of rejection.</t>
  </si>
  <si>
    <t>Agree to pay the above cost.</t>
  </si>
  <si>
    <t>Understand that any time in addition to the hours noted above will be charged at $197.04 per hour at 2024/25 unit rates, and that the applicant will be advised prior to work continuing.</t>
  </si>
  <si>
    <t>Understand that failure to provide any requested information necessary to progress with a product (re)evaluation then a final request shall be made by the Corporation.  If no reply or information is received within thirty (30) calendar days then the application shall be closed and an invoice will be raised.</t>
  </si>
  <si>
    <t xml:space="preserve">Applicant’s name: </t>
  </si>
  <si>
    <t>Applicant’s signature:</t>
  </si>
  <si>
    <r>
      <t>Position:</t>
    </r>
    <r>
      <rPr>
        <sz val="8.5"/>
        <color rgb="FF0072A7"/>
        <rFont val="Verdana"/>
        <family val="2"/>
      </rPr>
      <t>  </t>
    </r>
  </si>
  <si>
    <t>Date:</t>
  </si>
  <si>
    <t>Please return completed form as a Microsoft Excel document to:</t>
  </si>
  <si>
    <t xml:space="preserve">Email: tradewaste@watercorporation.com.au </t>
  </si>
  <si>
    <r>
      <t xml:space="preserve">Please note the following:
</t>
    </r>
    <r>
      <rPr>
        <b/>
        <sz val="1"/>
        <color rgb="FFFF0000"/>
        <rFont val="Verdana"/>
        <family val="2"/>
      </rPr>
      <t xml:space="preserve">
</t>
    </r>
    <r>
      <rPr>
        <b/>
        <sz val="8.5"/>
        <color rgb="FFFF0000"/>
        <rFont val="Verdana"/>
        <family val="2"/>
      </rPr>
      <t xml:space="preserve">(1) Submit the </t>
    </r>
    <r>
      <rPr>
        <b/>
        <u/>
        <sz val="8.5"/>
        <color rgb="FFFF0000"/>
        <rFont val="Verdana"/>
        <family val="2"/>
      </rPr>
      <t>electronic copy</t>
    </r>
    <r>
      <rPr>
        <b/>
        <sz val="8.5"/>
        <color rgb="FFFF0000"/>
        <rFont val="Verdana"/>
        <family val="2"/>
      </rPr>
      <t xml:space="preserve"> of the application form in MS Excel format including a signed PDF copy.  This is a requirement as the application cannot be processed otherwise.
</t>
    </r>
    <r>
      <rPr>
        <b/>
        <sz val="1"/>
        <color rgb="FFFF0000"/>
        <rFont val="Verdana"/>
        <family val="2"/>
      </rPr>
      <t xml:space="preserve">
</t>
    </r>
    <r>
      <rPr>
        <b/>
        <sz val="8.5"/>
        <color rgb="FFFF0000"/>
        <rFont val="Verdana"/>
        <family val="2"/>
      </rPr>
      <t xml:space="preserve">(2) Large supporting documents must be uploaded onto Microsoft </t>
    </r>
    <r>
      <rPr>
        <b/>
        <i/>
        <sz val="8.5"/>
        <color rgb="FFFF0000"/>
        <rFont val="Verdana"/>
        <family val="2"/>
      </rPr>
      <t>OneDrive</t>
    </r>
    <r>
      <rPr>
        <b/>
        <sz val="8.5"/>
        <color rgb="FFFF0000"/>
        <rFont val="Verdana"/>
        <family val="2"/>
      </rPr>
      <t xml:space="preserve"> (a Water Corporation approved file hosting service).
</t>
    </r>
    <r>
      <rPr>
        <b/>
        <sz val="1"/>
        <color rgb="FFFF0000"/>
        <rFont val="Verdana"/>
        <family val="2"/>
      </rPr>
      <t xml:space="preserve">
</t>
    </r>
    <r>
      <rPr>
        <b/>
        <sz val="8.5"/>
        <color rgb="FFFF0000"/>
        <rFont val="Verdana"/>
        <family val="2"/>
      </rPr>
      <t xml:space="preserve">(3) </t>
    </r>
    <r>
      <rPr>
        <b/>
        <u/>
        <sz val="8.5"/>
        <color rgb="FFFF0000"/>
        <rFont val="Verdana"/>
        <family val="2"/>
      </rPr>
      <t>ALL</t>
    </r>
    <r>
      <rPr>
        <b/>
        <sz val="8.5"/>
        <color rgb="FFFF0000"/>
        <rFont val="Verdana"/>
        <family val="2"/>
      </rPr>
      <t xml:space="preserve"> supporting documents must be supplied in PDF format.</t>
    </r>
  </si>
  <si>
    <r>
      <t xml:space="preserve">Fax: </t>
    </r>
    <r>
      <rPr>
        <sz val="8.5"/>
        <color rgb="FF4D4D4D"/>
        <rFont val="Verdana"/>
        <family val="2"/>
      </rPr>
      <t xml:space="preserve">(08) 6330 6691
</t>
    </r>
    <r>
      <rPr>
        <sz val="1"/>
        <color rgb="FF4D4D4D"/>
        <rFont val="Verdana"/>
        <family val="2"/>
      </rPr>
      <t xml:space="preserve">
</t>
    </r>
    <r>
      <rPr>
        <sz val="8.5"/>
        <color rgb="FF4D4D4D"/>
        <rFont val="Verdana"/>
        <family val="2"/>
      </rPr>
      <t xml:space="preserve">Water Corporation
</t>
    </r>
    <r>
      <rPr>
        <sz val="1"/>
        <color rgb="FF4D4D4D"/>
        <rFont val="Verdana"/>
        <family val="2"/>
      </rPr>
      <t xml:space="preserve">
</t>
    </r>
    <r>
      <rPr>
        <sz val="8.5"/>
        <color rgb="FF4D4D4D"/>
        <rFont val="Verdana"/>
        <family val="2"/>
      </rPr>
      <t xml:space="preserve">Commercial and Industrial Services
</t>
    </r>
    <r>
      <rPr>
        <sz val="1"/>
        <color rgb="FF4D4D4D"/>
        <rFont val="Verdana"/>
        <family val="2"/>
      </rPr>
      <t xml:space="preserve">
</t>
    </r>
    <r>
      <rPr>
        <sz val="8.5"/>
        <color rgb="FF4D4D4D"/>
        <rFont val="Verdana"/>
        <family val="2"/>
      </rPr>
      <t>240 Balcatta Rd, Balcatta</t>
    </r>
  </si>
  <si>
    <r>
      <t xml:space="preserve">Where you have </t>
    </r>
    <r>
      <rPr>
        <i/>
        <sz val="8.5"/>
        <color theme="1"/>
        <rFont val="Verdana"/>
        <family val="2"/>
      </rPr>
      <t xml:space="preserve">individual </t>
    </r>
    <r>
      <rPr>
        <sz val="8.5"/>
        <color theme="1"/>
        <rFont val="Verdana"/>
        <family val="2"/>
      </rPr>
      <t>drawing documents representing multiple models within a same class of product then DO NOT submit these documents individually.  Combine these individual drawing documents as one document with a summary cover sheet.  The summary cover sheet must show critical external dimensions (side, end and / or plan views) with a table at the bottom listing these critical external dimensions for each model.  If your products have critical internal dimensions unique to every model, then these must be included in the detailed drawings attached after the cover sheet for every model listed in the summary table.</t>
    </r>
    <r>
      <rPr>
        <sz val="4"/>
        <color theme="1"/>
        <rFont val="Verdana"/>
        <family val="2"/>
      </rPr>
      <t xml:space="preserve">
</t>
    </r>
    <r>
      <rPr>
        <sz val="8.5"/>
        <color theme="1"/>
        <rFont val="Verdana"/>
        <family val="2"/>
      </rPr>
      <t>Installation, operation and maintenance (IO&amp;M) manuals should also (where possible) be consolidated to just one document.</t>
    </r>
    <r>
      <rPr>
        <sz val="4"/>
        <color theme="1"/>
        <rFont val="Verdana"/>
        <family val="2"/>
      </rPr>
      <t xml:space="preserve">
</t>
    </r>
    <r>
      <rPr>
        <sz val="8.5"/>
        <color theme="1"/>
        <rFont val="Verdana"/>
        <family val="2"/>
      </rPr>
      <t>As an alternative to the above, detailed drawings of all models (less the summary cover sheet) can be combined in the IO&amp;M manual to form one consolidated document.  This one document will also be accepted.</t>
    </r>
    <r>
      <rPr>
        <sz val="4"/>
        <color theme="1"/>
        <rFont val="Verdana"/>
        <family val="2"/>
      </rPr>
      <t xml:space="preserve">
</t>
    </r>
    <r>
      <rPr>
        <sz val="8.5"/>
        <color theme="1"/>
        <rFont val="Verdana"/>
        <family val="2"/>
      </rPr>
      <t>Other supportive documentation (where applicable, such as safety data sheets, laboratory reports, finite element analysis reports, etc.) must be provided separately and not form part of the drawing and IO&amp;M manual documents referred to above.</t>
    </r>
    <r>
      <rPr>
        <sz val="4"/>
        <color theme="1"/>
        <rFont val="Verdana"/>
        <family val="2"/>
      </rPr>
      <t xml:space="preserve">
</t>
    </r>
    <r>
      <rPr>
        <sz val="8.5"/>
        <color theme="1"/>
        <rFont val="Verdana"/>
        <family val="2"/>
      </rPr>
      <t>Providing supportive documents as described above will reduce the time required for processing and reviewing  - which will be a cost saving to your application.</t>
    </r>
  </si>
  <si>
    <t>Supplementary information when submitting multiple drawings and / or manuals</t>
  </si>
  <si>
    <t>Registration of Application</t>
  </si>
  <si>
    <r>
      <t xml:space="preserve">What type of product appraisal </t>
    </r>
    <r>
      <rPr>
        <b/>
        <u/>
        <sz val="8"/>
        <color theme="1"/>
        <rFont val="Arial"/>
        <family val="2"/>
      </rPr>
      <t>review process</t>
    </r>
    <r>
      <rPr>
        <b/>
        <i/>
        <sz val="8"/>
        <color theme="1"/>
        <rFont val="Arial"/>
        <family val="2"/>
      </rPr>
      <t xml:space="preserve"> </t>
    </r>
    <r>
      <rPr>
        <b/>
        <sz val="8"/>
        <color theme="1"/>
        <rFont val="Arial"/>
        <family val="2"/>
      </rPr>
      <t>is this:</t>
    </r>
  </si>
  <si>
    <t>&lt; SELECT HERE! &gt;</t>
  </si>
  <si>
    <t>Date this action was completed:</t>
  </si>
  <si>
    <t>&lt; enter date this action was totally completed &gt;</t>
  </si>
  <si>
    <t>Enter time taken to complete this Index page:</t>
  </si>
  <si>
    <t>&lt; enter time taken &gt;</t>
  </si>
  <si>
    <r>
      <t xml:space="preserve">Open document </t>
    </r>
    <r>
      <rPr>
        <b/>
        <sz val="12"/>
        <color rgb="FFFF0000"/>
        <rFont val="Arial"/>
        <family val="2"/>
      </rPr>
      <t>&lt;add NEXUS number of this NEXUS document here&gt;</t>
    </r>
    <r>
      <rPr>
        <sz val="12"/>
        <color theme="1"/>
        <rFont val="Arial"/>
        <family val="2"/>
      </rPr>
      <t xml:space="preserve"> to add your review comments electronically.</t>
    </r>
  </si>
  <si>
    <t>This application is for the review of the following product type:</t>
  </si>
  <si>
    <t>&lt; make selection here &gt;</t>
  </si>
  <si>
    <t>Date completed:</t>
  </si>
  <si>
    <t>Please complete by:</t>
  </si>
  <si>
    <t>&lt;add relevant review person here&gt;</t>
  </si>
  <si>
    <t>(pick skill set)</t>
  </si>
  <si>
    <t>Appraisal Documentation Provided</t>
  </si>
  <si>
    <t>&lt;List the name of any report &gt;</t>
  </si>
  <si>
    <t>&lt;List all model numbers relevant to this review:</t>
  </si>
  <si>
    <t>Model 1</t>
  </si>
  <si>
    <t>Model 2</t>
  </si>
  <si>
    <t>Model 3 (etc.)</t>
  </si>
  <si>
    <t>Supportive Technical and Field Data</t>
  </si>
  <si>
    <t>&lt;If available, list any supportive specification drawings&gt;</t>
  </si>
  <si>
    <t>&lt;If available, list any supportive field data&gt;</t>
  </si>
  <si>
    <t>&lt;If available, list any available reports&gt;</t>
  </si>
  <si>
    <t>Previous Water Corporation assessment documentation</t>
  </si>
  <si>
    <t xml:space="preserve">&lt;List or refer to any various in-house historical review data&gt;  </t>
  </si>
  <si>
    <t>Water Corporation Acceptance Criteria and Typical Drawings</t>
  </si>
  <si>
    <t>&lt;List any relevant Water Corp typical drawings?</t>
  </si>
  <si>
    <r>
      <t xml:space="preserve">Where possible, use web based hyperlinks also to reference these drawing lists. </t>
    </r>
    <r>
      <rPr>
        <b/>
        <sz val="12"/>
        <color rgb="FFFF0000"/>
        <rFont val="Arial"/>
        <family val="2"/>
      </rPr>
      <t xml:space="preserve"> </t>
    </r>
    <r>
      <rPr>
        <b/>
        <sz val="12"/>
        <color theme="0"/>
        <rFont val="Arial"/>
        <family val="2"/>
      </rPr>
      <t>Must leave a current hard copy in this file.</t>
    </r>
  </si>
  <si>
    <r>
      <rPr>
        <b/>
        <sz val="12"/>
        <color rgb="FFFFFF00"/>
        <rFont val="Arial"/>
        <family val="2"/>
      </rPr>
      <t>Header Information.</t>
    </r>
    <r>
      <rPr>
        <b/>
        <sz val="12"/>
        <color theme="1"/>
        <rFont val="Arial"/>
        <family val="2"/>
      </rPr>
      <t xml:space="preserve"> </t>
    </r>
    <r>
      <rPr>
        <sz val="8"/>
        <color theme="1"/>
        <rFont val="Arial"/>
        <family val="2"/>
      </rPr>
      <t xml:space="preserve"> (All items in yellow highlight and red text must be completed before proceeding to the next step.)</t>
    </r>
  </si>
  <si>
    <t>Applicant:</t>
  </si>
  <si>
    <t>Manufacturer:</t>
  </si>
  <si>
    <t>Make:</t>
  </si>
  <si>
    <t>Model:</t>
  </si>
  <si>
    <t>Supplier:</t>
  </si>
  <si>
    <t>What type of product appraisal is this:</t>
  </si>
  <si>
    <t>1. Web link of applicant (supplier):</t>
  </si>
  <si>
    <t>Applicant's web page</t>
  </si>
  <si>
    <t>2. Web link of manufacturer (if different):</t>
  </si>
  <si>
    <t>Manufacturer's web page</t>
  </si>
  <si>
    <r>
      <t xml:space="preserve">Once the </t>
    </r>
    <r>
      <rPr>
        <b/>
        <sz val="10"/>
        <color theme="1"/>
        <rFont val="Arial"/>
        <family val="2"/>
      </rPr>
      <t xml:space="preserve">Header Information </t>
    </r>
    <r>
      <rPr>
        <sz val="10"/>
        <color theme="1"/>
        <rFont val="Arial"/>
        <family val="2"/>
      </rPr>
      <t>has been compiled then send the following e-mail:</t>
    </r>
  </si>
  <si>
    <t>Panel Member Planning, Scheduling and Review Request e-mail</t>
  </si>
  <si>
    <r>
      <t xml:space="preserve">Time taken to </t>
    </r>
    <r>
      <rPr>
        <b/>
        <i/>
        <sz val="8"/>
        <color theme="1"/>
        <rFont val="Arial"/>
        <family val="2"/>
      </rPr>
      <t>Establish NEXUS File</t>
    </r>
    <r>
      <rPr>
        <sz val="8"/>
        <color theme="1"/>
        <rFont val="Arial"/>
        <family val="2"/>
      </rPr>
      <t xml:space="preserve"> (minutes):</t>
    </r>
  </si>
  <si>
    <r>
      <t xml:space="preserve">Please enter the date when Part 1 of the </t>
    </r>
    <r>
      <rPr>
        <b/>
        <i/>
        <sz val="8"/>
        <color theme="1"/>
        <rFont val="Arial"/>
        <family val="2"/>
      </rPr>
      <t>Review Sheet</t>
    </r>
    <r>
      <rPr>
        <sz val="8"/>
        <color theme="1"/>
        <rFont val="Arial"/>
        <family val="2"/>
      </rPr>
      <t xml:space="preserve"> was fully completed:</t>
    </r>
  </si>
  <si>
    <t>&lt; enter date this part was fully completed &gt;</t>
  </si>
  <si>
    <t>Part 1: Review of any new or historical information received by the Water Corporation</t>
  </si>
  <si>
    <r>
      <t xml:space="preserve">For </t>
    </r>
    <r>
      <rPr>
        <b/>
        <i/>
        <sz val="14"/>
        <rFont val="Arial"/>
        <family val="2"/>
      </rPr>
      <t>Time Taken (min)</t>
    </r>
    <r>
      <rPr>
        <b/>
        <sz val="14"/>
        <color rgb="FFFFFF00"/>
        <rFont val="Arial"/>
        <family val="2"/>
      </rPr>
      <t>- Insert numerical value only - as minutes.</t>
    </r>
  </si>
  <si>
    <t>Reviewer</t>
  </si>
  <si>
    <t>Responsibility</t>
  </si>
  <si>
    <t>Comments to be used for Summary Proposal</t>
  </si>
  <si>
    <t>Review Date</t>
  </si>
  <si>
    <t>Time Taken (min)</t>
  </si>
  <si>
    <t></t>
  </si>
  <si>
    <t>&lt; enter comments here &gt;</t>
  </si>
  <si>
    <t>&lt;Add date&gt;</t>
  </si>
  <si>
    <t>Part 2: Drafting of Summary Reply to Applicant (and processing Applicant's reply to the Summary that was sent)</t>
  </si>
  <si>
    <t>Filter me!</t>
  </si>
  <si>
    <t>Column1</t>
  </si>
  <si>
    <t>Summary reply sent to applicant and then returned by applicant</t>
  </si>
  <si>
    <t>Rating</t>
  </si>
  <si>
    <t>Column2</t>
  </si>
  <si>
    <t>2.1</t>
  </si>
  <si>
    <t>&lt; applicant to provide reply / feedback here to this specific line item &gt;</t>
  </si>
  <si>
    <t>&lt; enter any final closure comment here to close out any outstanding issue &gt;</t>
  </si>
  <si>
    <t>&lt; make final selection here &gt;</t>
  </si>
  <si>
    <t>2.2</t>
  </si>
  <si>
    <t>2.3</t>
  </si>
  <si>
    <t>2.4</t>
  </si>
  <si>
    <t>2.5</t>
  </si>
  <si>
    <t>2.6</t>
  </si>
  <si>
    <t>2.7</t>
  </si>
  <si>
    <t>2.8</t>
  </si>
  <si>
    <t>2.9</t>
  </si>
  <si>
    <t>2.10</t>
  </si>
  <si>
    <r>
      <rPr>
        <sz val="11"/>
        <color theme="1"/>
        <rFont val="Wingdings"/>
        <charset val="2"/>
      </rPr>
      <t>ï</t>
    </r>
    <r>
      <rPr>
        <sz val="11"/>
        <color theme="1"/>
        <rFont val="Calibri"/>
        <family val="2"/>
      </rPr>
      <t xml:space="preserve"> </t>
    </r>
    <r>
      <rPr>
        <sz val="11"/>
        <color theme="1"/>
        <rFont val="Calibri"/>
        <family val="2"/>
        <scheme val="minor"/>
      </rPr>
      <t>Click here for more lines</t>
    </r>
  </si>
  <si>
    <t>2.11</t>
  </si>
  <si>
    <t>2.12</t>
  </si>
  <si>
    <t>2.13</t>
  </si>
  <si>
    <t>2.14</t>
  </si>
  <si>
    <t>2.15</t>
  </si>
  <si>
    <t>2.16</t>
  </si>
  <si>
    <t>2.17</t>
  </si>
  <si>
    <t>2.18</t>
  </si>
  <si>
    <t>2.19</t>
  </si>
  <si>
    <t>2.20</t>
  </si>
  <si>
    <t xml:space="preserve">Prepare summary reply using this e-mail template: </t>
  </si>
  <si>
    <t>Initial summary reply from Review Panel sent to proponent on:</t>
  </si>
  <si>
    <t>&lt; enter send date of e-mail transmission &gt;</t>
  </si>
  <si>
    <t>No need to make a hyperlink, just record the number and (sub)version.</t>
  </si>
  <si>
    <t>NEXUS Document Number Reference of E-Mail Sent:</t>
  </si>
  <si>
    <t>&lt; enter NEXUS Ref and (sub) version # &gt;</t>
  </si>
  <si>
    <t>ï</t>
  </si>
  <si>
    <r>
      <t xml:space="preserve">Time taken for </t>
    </r>
    <r>
      <rPr>
        <b/>
        <i/>
        <sz val="8"/>
        <color theme="1"/>
        <rFont val="Arial"/>
        <family val="2"/>
      </rPr>
      <t>Summary &amp; Reply - Sent</t>
    </r>
    <r>
      <rPr>
        <sz val="8"/>
        <color theme="1"/>
        <rFont val="Arial"/>
        <family val="2"/>
      </rPr>
      <t xml:space="preserve"> (minutes):</t>
    </r>
  </si>
  <si>
    <r>
      <t xml:space="preserve">Final reply received from applicant, above (in </t>
    </r>
    <r>
      <rPr>
        <i/>
        <sz val="8"/>
        <color rgb="FF0070C0"/>
        <rFont val="Arial"/>
        <family val="2"/>
      </rPr>
      <t>blue</t>
    </r>
    <r>
      <rPr>
        <sz val="8"/>
        <color theme="1"/>
        <rFont val="Arial"/>
        <family val="2"/>
      </rPr>
      <t>):</t>
    </r>
  </si>
  <si>
    <t>&lt; enter received date of e-mail reply &gt;</t>
  </si>
  <si>
    <r>
      <t xml:space="preserve">Time taken for </t>
    </r>
    <r>
      <rPr>
        <b/>
        <i/>
        <sz val="8"/>
        <color theme="1"/>
        <rFont val="Arial"/>
        <family val="2"/>
      </rPr>
      <t>Summary &amp; Reply - Received</t>
    </r>
    <r>
      <rPr>
        <sz val="8"/>
        <color theme="1"/>
        <rFont val="Arial"/>
        <family val="2"/>
      </rPr>
      <t xml:space="preserve"> (minutes):</t>
    </r>
  </si>
  <si>
    <r>
      <t xml:space="preserve">Please enter the date when Part 2 of the </t>
    </r>
    <r>
      <rPr>
        <b/>
        <i/>
        <sz val="8"/>
        <color theme="1"/>
        <rFont val="Arial"/>
        <family val="2"/>
      </rPr>
      <t>Review Sheet</t>
    </r>
    <r>
      <rPr>
        <sz val="8"/>
        <color theme="1"/>
        <rFont val="Arial"/>
        <family val="2"/>
      </rPr>
      <t xml:space="preserve"> was fully completed:</t>
    </r>
  </si>
  <si>
    <t>Part 3: Summary Proposal from Review Team</t>
  </si>
  <si>
    <t>Proposal Summary to be sent to Manager Trade Waste</t>
  </si>
  <si>
    <t>3.1</t>
  </si>
  <si>
    <t>3.2</t>
  </si>
  <si>
    <t>3.3</t>
  </si>
  <si>
    <t>3.4</t>
  </si>
  <si>
    <t>3.5</t>
  </si>
  <si>
    <t>3.6</t>
  </si>
  <si>
    <t>3.7</t>
  </si>
  <si>
    <t>3.8</t>
  </si>
  <si>
    <t>3.9</t>
  </si>
  <si>
    <t>Delete any lines not used.</t>
  </si>
  <si>
    <t>3.10</t>
  </si>
  <si>
    <t xml:space="preserve">Prepare Review Panel meeting using this e-mail template: </t>
  </si>
  <si>
    <r>
      <t xml:space="preserve">Time taken for </t>
    </r>
    <r>
      <rPr>
        <b/>
        <i/>
        <sz val="8"/>
        <color theme="1"/>
        <rFont val="Arial"/>
        <family val="2"/>
      </rPr>
      <t>Final Summary Proposal</t>
    </r>
    <r>
      <rPr>
        <sz val="8"/>
        <color theme="1"/>
        <rFont val="Arial"/>
        <family val="2"/>
      </rPr>
      <t xml:space="preserve"> (minutes):</t>
    </r>
  </si>
  <si>
    <r>
      <t xml:space="preserve">Please enter the date when Part 3 of the </t>
    </r>
    <r>
      <rPr>
        <b/>
        <i/>
        <sz val="8"/>
        <color theme="1"/>
        <rFont val="Arial"/>
        <family val="2"/>
      </rPr>
      <t>Review Sheet</t>
    </r>
    <r>
      <rPr>
        <sz val="8"/>
        <color theme="1"/>
        <rFont val="Arial"/>
        <family val="2"/>
      </rPr>
      <t xml:space="preserve"> was fully completed:</t>
    </r>
  </si>
  <si>
    <t>Part 4: Final Recommendation to Manager C&amp;IS from Review Team</t>
  </si>
  <si>
    <t>Date of Review Meeting:</t>
  </si>
  <si>
    <t>&lt; enter date of review meeting &gt;</t>
  </si>
  <si>
    <t>Review Team Members present:</t>
  </si>
  <si>
    <t>&lt;Add reviewer names&gt;</t>
  </si>
  <si>
    <t>Recommendation is to:</t>
  </si>
  <si>
    <t>4.1</t>
  </si>
  <si>
    <t>4.2</t>
  </si>
  <si>
    <t>4.3</t>
  </si>
  <si>
    <t>4.4</t>
  </si>
  <si>
    <t>4.5</t>
  </si>
  <si>
    <t>4.6</t>
  </si>
  <si>
    <t>Prepare TW Manager endorsement request using this e-mail template:</t>
  </si>
  <si>
    <r>
      <t xml:space="preserve">Time taken </t>
    </r>
    <r>
      <rPr>
        <b/>
        <i/>
        <sz val="8"/>
        <color theme="1"/>
        <rFont val="Arial"/>
        <family val="2"/>
      </rPr>
      <t>Final Recommendation</t>
    </r>
    <r>
      <rPr>
        <sz val="8"/>
        <color theme="1"/>
        <rFont val="Arial"/>
        <family val="2"/>
      </rPr>
      <t xml:space="preserve"> (minutes):</t>
    </r>
  </si>
  <si>
    <r>
      <t xml:space="preserve">Please enter the date when Part 4 of the </t>
    </r>
    <r>
      <rPr>
        <b/>
        <i/>
        <sz val="8"/>
        <color theme="1"/>
        <rFont val="Arial"/>
        <family val="2"/>
      </rPr>
      <t>Review Sheet</t>
    </r>
    <r>
      <rPr>
        <sz val="8"/>
        <color theme="1"/>
        <rFont val="Arial"/>
        <family val="2"/>
      </rPr>
      <t xml:space="preserve"> was fully completed:</t>
    </r>
  </si>
  <si>
    <t>Part 5: Manager Commercial and Industrial Services Final Review</t>
  </si>
  <si>
    <t xml:space="preserve">Additional comments: </t>
  </si>
  <si>
    <t>&lt; enter here if any, otherwise enter 'N/A' &gt;</t>
  </si>
  <si>
    <t>&lt; Make selection here &gt;</t>
  </si>
  <si>
    <t>This (re)appraisal product application has been:</t>
  </si>
  <si>
    <t>&lt; SELECT HERE &gt;</t>
  </si>
  <si>
    <r>
      <t xml:space="preserve">Time taken for </t>
    </r>
    <r>
      <rPr>
        <b/>
        <i/>
        <sz val="8"/>
        <color theme="1"/>
        <rFont val="Arial"/>
        <family val="2"/>
      </rPr>
      <t xml:space="preserve">Manager Endorsement </t>
    </r>
    <r>
      <rPr>
        <sz val="8"/>
        <color theme="1"/>
        <rFont val="Arial"/>
        <family val="2"/>
      </rPr>
      <t>(minutes):</t>
    </r>
  </si>
  <si>
    <t>Date reviewed by Manager Trade Waste:</t>
  </si>
  <si>
    <t>&lt; enter date of review &gt;</t>
  </si>
  <si>
    <r>
      <t xml:space="preserve">Please enter the date when Part 5 of the </t>
    </r>
    <r>
      <rPr>
        <b/>
        <i/>
        <sz val="8"/>
        <color theme="1"/>
        <rFont val="Arial"/>
        <family val="2"/>
      </rPr>
      <t>Review Sheet</t>
    </r>
    <r>
      <rPr>
        <sz val="8"/>
        <color theme="1"/>
        <rFont val="Arial"/>
        <family val="2"/>
      </rPr>
      <t xml:space="preserve"> was fully completed:</t>
    </r>
  </si>
  <si>
    <t>Part 6: (If approved) Drafting of Approval Certificate</t>
  </si>
  <si>
    <t>Must make a DM hyperlink directly to the Certificate in AQUA</t>
  </si>
  <si>
    <t>Time taken to Create Approval Certificate (minutes):</t>
  </si>
  <si>
    <r>
      <t xml:space="preserve">Please enter the date when Part 6 of the </t>
    </r>
    <r>
      <rPr>
        <b/>
        <i/>
        <sz val="8"/>
        <color theme="1"/>
        <rFont val="Arial"/>
        <family val="2"/>
      </rPr>
      <t>Review Sheet</t>
    </r>
    <r>
      <rPr>
        <sz val="8"/>
        <color theme="1"/>
        <rFont val="Arial"/>
        <family val="2"/>
      </rPr>
      <t xml:space="preserve"> was fully completed:</t>
    </r>
  </si>
  <si>
    <t>Part 7: Draft Approval Certificate and Finalisation Comments Sent to Applicant for Review Before Final Approval</t>
  </si>
  <si>
    <t>Time taken to send Draft Approval Certificate and Finalisation Comments (minutes):</t>
  </si>
  <si>
    <r>
      <t xml:space="preserve">Please enter the date when Part 7 of the </t>
    </r>
    <r>
      <rPr>
        <b/>
        <i/>
        <sz val="8"/>
        <color theme="1"/>
        <rFont val="Arial"/>
        <family val="2"/>
      </rPr>
      <t>Review Sheet</t>
    </r>
    <r>
      <rPr>
        <sz val="8"/>
        <color theme="1"/>
        <rFont val="Arial"/>
        <family val="2"/>
      </rPr>
      <t xml:space="preserve"> was fully completed:</t>
    </r>
  </si>
  <si>
    <t>Part 8: Final Reply Sent to Applicant</t>
  </si>
  <si>
    <r>
      <t xml:space="preserve">Time taken to send </t>
    </r>
    <r>
      <rPr>
        <b/>
        <i/>
        <sz val="8"/>
        <color theme="1"/>
        <rFont val="Arial"/>
        <family val="2"/>
      </rPr>
      <t>Final Reply to Applicant</t>
    </r>
    <r>
      <rPr>
        <b/>
        <sz val="8"/>
        <color theme="1"/>
        <rFont val="Arial"/>
        <family val="2"/>
      </rPr>
      <t xml:space="preserve"> </t>
    </r>
    <r>
      <rPr>
        <sz val="8"/>
        <color theme="1"/>
        <rFont val="Arial"/>
        <family val="2"/>
      </rPr>
      <t>(minutes):</t>
    </r>
  </si>
  <si>
    <r>
      <t xml:space="preserve">Please enter the date when Part 8 of the </t>
    </r>
    <r>
      <rPr>
        <b/>
        <i/>
        <sz val="8"/>
        <color theme="1"/>
        <rFont val="Arial"/>
        <family val="2"/>
      </rPr>
      <t>Review Sheet</t>
    </r>
    <r>
      <rPr>
        <sz val="8"/>
        <color theme="1"/>
        <rFont val="Arial"/>
        <family val="2"/>
      </rPr>
      <t xml:space="preserve"> was fully completed:</t>
    </r>
  </si>
  <si>
    <t>Part 9: Request for Web Page Update</t>
  </si>
  <si>
    <t>Time taken for Request Web Page Update (minutes):</t>
  </si>
  <si>
    <r>
      <t xml:space="preserve">Please enter the date when Part 9 of the </t>
    </r>
    <r>
      <rPr>
        <b/>
        <i/>
        <sz val="8"/>
        <color theme="1"/>
        <rFont val="Arial"/>
        <family val="2"/>
      </rPr>
      <t>Review Sheet</t>
    </r>
    <r>
      <rPr>
        <sz val="8"/>
        <color theme="1"/>
        <rFont val="Arial"/>
        <family val="2"/>
      </rPr>
      <t xml:space="preserve"> was fully completed:</t>
    </r>
  </si>
  <si>
    <t>Part 10: Request for MIDAS Update</t>
  </si>
  <si>
    <t>Time taken for Request MIDAS Update (minutes):</t>
  </si>
  <si>
    <r>
      <t xml:space="preserve">Please enter the date when Part 10 of the </t>
    </r>
    <r>
      <rPr>
        <b/>
        <i/>
        <sz val="8"/>
        <color theme="1"/>
        <rFont val="Arial"/>
        <family val="2"/>
      </rPr>
      <t>Review Sheet</t>
    </r>
    <r>
      <rPr>
        <sz val="8"/>
        <color theme="1"/>
        <rFont val="Arial"/>
        <family val="2"/>
      </rPr>
      <t xml:space="preserve"> was fully completed:</t>
    </r>
  </si>
  <si>
    <t>Part 11: General Communication and Feedback</t>
  </si>
  <si>
    <t>This needs to be obtained from the Product Appraisals KPI sheet:</t>
  </si>
  <si>
    <r>
      <t xml:space="preserve">Time taken for </t>
    </r>
    <r>
      <rPr>
        <b/>
        <i/>
        <sz val="8"/>
        <color theme="1"/>
        <rFont val="Arial"/>
        <family val="2"/>
      </rPr>
      <t>Ongoing General Queries &amp; Replies</t>
    </r>
    <r>
      <rPr>
        <sz val="8"/>
        <color theme="1"/>
        <rFont val="Arial"/>
        <family val="2"/>
      </rPr>
      <t xml:space="preserve"> (minutes):</t>
    </r>
  </si>
  <si>
    <r>
      <t xml:space="preserve">Please enter the date when Part 11 of the </t>
    </r>
    <r>
      <rPr>
        <b/>
        <i/>
        <sz val="8"/>
        <color theme="1"/>
        <rFont val="Arial"/>
        <family val="2"/>
      </rPr>
      <t>Review Sheet</t>
    </r>
    <r>
      <rPr>
        <sz val="8"/>
        <color theme="1"/>
        <rFont val="Arial"/>
        <family val="2"/>
      </rPr>
      <t xml:space="preserve"> was fully completed:</t>
    </r>
  </si>
  <si>
    <t>Part 12: Request to Raise Revenue</t>
  </si>
  <si>
    <r>
      <t xml:space="preserve">Please enter the date when Part 12 of the </t>
    </r>
    <r>
      <rPr>
        <b/>
        <i/>
        <sz val="8"/>
        <color theme="1"/>
        <rFont val="Arial"/>
        <family val="2"/>
      </rPr>
      <t>Review Sheet</t>
    </r>
    <r>
      <rPr>
        <sz val="8"/>
        <color theme="1"/>
        <rFont val="Arial"/>
        <family val="2"/>
      </rPr>
      <t xml:space="preserve"> was fully completed:</t>
    </r>
  </si>
  <si>
    <r>
      <t xml:space="preserve">Time taken to prepare for </t>
    </r>
    <r>
      <rPr>
        <b/>
        <i/>
        <sz val="8"/>
        <color theme="1"/>
        <rFont val="Arial"/>
        <family val="2"/>
      </rPr>
      <t>Final Summary Proposal</t>
    </r>
    <r>
      <rPr>
        <sz val="8"/>
        <color theme="1"/>
        <rFont val="Arial"/>
        <family val="2"/>
      </rPr>
      <t xml:space="preserve"> (minutes):</t>
    </r>
  </si>
  <si>
    <t>Part 2: Summary Proposal for the Review Team to Consider</t>
  </si>
  <si>
    <t>Summary Proposal to be sent to Applicant</t>
  </si>
  <si>
    <t>Part 3: Drafting of Summary Reply to Applicant (and processing Applicant's reply to the Summary that was sent)</t>
  </si>
  <si>
    <t>AQUA Document Number Reference of E-Mail Sent:</t>
  </si>
  <si>
    <t>&lt; enter AQUA Ref and (sub) version # &gt;</t>
  </si>
  <si>
    <r>
      <t xml:space="preserve">Final reply received from applicant, above (in </t>
    </r>
    <r>
      <rPr>
        <i/>
        <sz val="8"/>
        <color rgb="FF00B0F0"/>
        <rFont val="Arial"/>
        <family val="2"/>
      </rPr>
      <t>blue</t>
    </r>
    <r>
      <rPr>
        <sz val="8"/>
        <color theme="1"/>
        <rFont val="Arial"/>
        <family val="2"/>
      </rPr>
      <t>):</t>
    </r>
  </si>
  <si>
    <t>Part 4: Final Consideration by Product Appraisal Administrator to Reject or Proceed with Ongoing Approval</t>
  </si>
  <si>
    <t>This reappraisal product application has been:</t>
  </si>
  <si>
    <r>
      <t xml:space="preserve">Time taken Product Appraisal Administrator </t>
    </r>
    <r>
      <rPr>
        <b/>
        <i/>
        <sz val="8"/>
        <color theme="1"/>
        <rFont val="Arial"/>
        <family val="2"/>
      </rPr>
      <t>Line Manager Endorsement</t>
    </r>
    <r>
      <rPr>
        <sz val="8"/>
        <color theme="1"/>
        <rFont val="Arial"/>
        <family val="2"/>
      </rPr>
      <t xml:space="preserve"> (minutes):</t>
    </r>
  </si>
  <si>
    <t>Part 5: (If approved) Drafting of Approval Certificate Using Latest Version of Generic Template</t>
  </si>
  <si>
    <t>Time taken to create new Approval Certificate from previous existing certificate (minutes):</t>
  </si>
  <si>
    <t>Part 6: Draft Approval Certificate and Finalisation Comments Sent to Applicant for Review Before Final Approval</t>
  </si>
  <si>
    <t>Part 7: Final Reply Sent to Applicant</t>
  </si>
  <si>
    <t>Part 8: Request for Web Page Update</t>
  </si>
  <si>
    <t>Time taken for Requesting Web Page Update (minutes)</t>
  </si>
  <si>
    <t>Part 9: Request for MIDAS Update</t>
  </si>
  <si>
    <t>Part 10: General Communication and Feedback</t>
  </si>
  <si>
    <t>Part 11: Request to Raise Revenue</t>
  </si>
  <si>
    <t>Click here to return back to the Review Sheet.</t>
  </si>
  <si>
    <t>&lt; enter date &gt;</t>
  </si>
  <si>
    <t>Account Title (in Grange):</t>
  </si>
  <si>
    <t>(To appear on Page 1 of Grange bill)</t>
  </si>
  <si>
    <t>Customer (in Grange):</t>
  </si>
  <si>
    <t>Attention:</t>
  </si>
  <si>
    <t>Invoice Value:</t>
  </si>
  <si>
    <t>Profit Centre: 125</t>
  </si>
  <si>
    <t>(Please exclude GST component.  10% GST will be automatically calculated.)</t>
  </si>
  <si>
    <t>Revenue Rating Schedules</t>
  </si>
  <si>
    <t>Description:</t>
  </si>
  <si>
    <t>(To appear on Page 2 of Grange bill)</t>
  </si>
  <si>
    <t>Time taken</t>
  </si>
  <si>
    <t>minutes</t>
  </si>
  <si>
    <t>hours</t>
  </si>
  <si>
    <t>KPI Time</t>
  </si>
  <si>
    <t>KPI Cost</t>
  </si>
  <si>
    <t xml:space="preserve">Registration: </t>
  </si>
  <si>
    <t>Establishing NEXUS Folder:</t>
  </si>
  <si>
    <t xml:space="preserve">Individual Reviews - </t>
  </si>
  <si>
    <t>Summary &amp; Reply - Sent:</t>
  </si>
  <si>
    <t>Summary &amp; Reply - Received:</t>
  </si>
  <si>
    <t>Final Summary Proposal:</t>
  </si>
  <si>
    <t>Final Recommendation:</t>
  </si>
  <si>
    <t>Manager and/or TL(Invest) Endorsement:</t>
  </si>
  <si>
    <t>Create Approval Certificate:</t>
  </si>
  <si>
    <t>Finalisation of DRAFT Certifictate with Customer:</t>
  </si>
  <si>
    <t>Final Reply to Applicant:</t>
  </si>
  <si>
    <t>Requesting Web Page Update:</t>
  </si>
  <si>
    <t>Requesting MIDAS Update:</t>
  </si>
  <si>
    <t>Ongoing General Queries &amp; Replies:</t>
  </si>
  <si>
    <t>Billing:</t>
  </si>
  <si>
    <t>Requested By:</t>
  </si>
  <si>
    <t>enter position title here</t>
  </si>
  <si>
    <t>Authorised By:</t>
  </si>
  <si>
    <t>(Branch / Section Manager)</t>
  </si>
  <si>
    <t>Finance Use Only:</t>
  </si>
  <si>
    <t>Processed By:</t>
  </si>
  <si>
    <t>Grange Account Number:</t>
  </si>
  <si>
    <t>QC / KPI Use Only:</t>
  </si>
  <si>
    <t>Entered By:</t>
  </si>
  <si>
    <t xml:space="preserve">Expiry Notification E-mail Sent to Applicant </t>
  </si>
  <si>
    <r>
      <t xml:space="preserve">Create a new </t>
    </r>
    <r>
      <rPr>
        <b/>
        <i/>
        <sz val="8"/>
        <color theme="1"/>
        <rFont val="Arial"/>
        <family val="2"/>
      </rPr>
      <t xml:space="preserve">KPI </t>
    </r>
    <r>
      <rPr>
        <u/>
        <sz val="8"/>
        <color theme="1"/>
        <rFont val="Arial"/>
        <family val="2"/>
      </rPr>
      <t>Customer Index</t>
    </r>
    <r>
      <rPr>
        <sz val="8"/>
        <color theme="1"/>
        <rFont val="Arial"/>
        <family val="2"/>
      </rPr>
      <t xml:space="preserve"> entry for the existing file but under a </t>
    </r>
    <r>
      <rPr>
        <b/>
        <i/>
        <sz val="8"/>
        <color theme="1"/>
        <rFont val="Arial"/>
        <family val="2"/>
      </rPr>
      <t>new year</t>
    </r>
    <r>
      <rPr>
        <sz val="8"/>
        <color theme="1"/>
        <rFont val="Arial"/>
        <family val="2"/>
      </rPr>
      <t>:</t>
    </r>
  </si>
  <si>
    <t>58941674 (PA - KPI Sheet)</t>
  </si>
  <si>
    <r>
      <t xml:space="preserve">Save this initial PA E-Form using the newly created </t>
    </r>
    <r>
      <rPr>
        <b/>
        <i/>
        <sz val="8"/>
        <color theme="1"/>
        <rFont val="Arial"/>
        <family val="2"/>
      </rPr>
      <t xml:space="preserve">KPI </t>
    </r>
    <r>
      <rPr>
        <u/>
        <sz val="8"/>
        <color theme="1"/>
        <rFont val="Arial"/>
        <family val="2"/>
      </rPr>
      <t>Customer Index</t>
    </r>
    <r>
      <rPr>
        <sz val="8"/>
        <color theme="1"/>
        <rFont val="Arial"/>
        <family val="2"/>
      </rPr>
      <t xml:space="preserve"> entry in the original NEXUS folder name:</t>
    </r>
  </si>
  <si>
    <t>&lt; has this PA E-Form now been saved? &gt;</t>
  </si>
  <si>
    <r>
      <t xml:space="preserve">Update existing entry on </t>
    </r>
    <r>
      <rPr>
        <b/>
        <i/>
        <sz val="8"/>
        <color theme="1"/>
        <rFont val="Arial"/>
        <family val="2"/>
      </rPr>
      <t>Index and Activity Status Sheet</t>
    </r>
    <r>
      <rPr>
        <sz val="8"/>
        <color theme="1"/>
        <rFont val="Arial"/>
        <family val="2"/>
      </rPr>
      <t xml:space="preserve"> to signify reappraisal under a new year:</t>
    </r>
  </si>
  <si>
    <t>58979569 (PA - Index and Activity Sheet)</t>
  </si>
  <si>
    <r>
      <t xml:space="preserve">Enter time taken to update </t>
    </r>
    <r>
      <rPr>
        <u/>
        <sz val="8"/>
        <color theme="1"/>
        <rFont val="Arial"/>
        <family val="2"/>
      </rPr>
      <t>both</t>
    </r>
    <r>
      <rPr>
        <sz val="8"/>
        <color theme="1"/>
        <rFont val="Arial"/>
        <family val="2"/>
      </rPr>
      <t xml:space="preserve"> the </t>
    </r>
    <r>
      <rPr>
        <b/>
        <i/>
        <sz val="8"/>
        <color theme="1"/>
        <rFont val="Arial"/>
        <family val="2"/>
      </rPr>
      <t>KPI</t>
    </r>
    <r>
      <rPr>
        <sz val="8"/>
        <color theme="1"/>
        <rFont val="Arial"/>
        <family val="2"/>
      </rPr>
      <t xml:space="preserve"> sheet and </t>
    </r>
    <r>
      <rPr>
        <b/>
        <i/>
        <sz val="8"/>
        <color theme="1"/>
        <rFont val="Arial"/>
        <family val="2"/>
      </rPr>
      <t xml:space="preserve">Index Sheet </t>
    </r>
    <r>
      <rPr>
        <sz val="8"/>
        <color theme="1"/>
        <rFont val="Arial"/>
        <family val="2"/>
      </rPr>
      <t>with a new year / volume entry (minutes):</t>
    </r>
  </si>
  <si>
    <t>Prepare first T = - 3 month expiry notification e-mail using this e-mail template:</t>
  </si>
  <si>
    <r>
      <t xml:space="preserve">Save this initial expiry notification e-mail using the newly created </t>
    </r>
    <r>
      <rPr>
        <b/>
        <i/>
        <sz val="8"/>
        <color theme="1"/>
        <rFont val="Arial"/>
        <family val="2"/>
      </rPr>
      <t xml:space="preserve">KPI </t>
    </r>
    <r>
      <rPr>
        <u/>
        <sz val="8"/>
        <color theme="1"/>
        <rFont val="Arial"/>
        <family val="2"/>
      </rPr>
      <t>Customer Index</t>
    </r>
    <r>
      <rPr>
        <sz val="8"/>
        <color theme="1"/>
        <rFont val="Arial"/>
        <family val="2"/>
      </rPr>
      <t xml:space="preserve"> entry in the original NEXUS folder name:</t>
    </r>
  </si>
  <si>
    <t>&lt; has this expiry e-mail now been saved? &gt;</t>
  </si>
  <si>
    <t>NEXUS Reference:</t>
  </si>
  <si>
    <t>&lt; enter NEXUS Reference and (sub) version number &gt;</t>
  </si>
  <si>
    <r>
      <rPr>
        <sz val="10"/>
        <color rgb="FFFFFF00"/>
        <rFont val="Wingdings"/>
        <charset val="2"/>
      </rPr>
      <t>ï</t>
    </r>
    <r>
      <rPr>
        <sz val="10"/>
        <color rgb="FFFFFF00"/>
        <rFont val="Arial"/>
        <family val="2"/>
      </rPr>
      <t xml:space="preserve"> </t>
    </r>
    <r>
      <rPr>
        <sz val="8"/>
        <color rgb="FFFFFF00"/>
        <rFont val="Arial"/>
        <family val="2"/>
      </rPr>
      <t>No need to make a hyperlink, just record the number and (sub)version.</t>
    </r>
  </si>
  <si>
    <r>
      <t xml:space="preserve">Time taken </t>
    </r>
    <r>
      <rPr>
        <b/>
        <i/>
        <sz val="8"/>
        <color theme="1"/>
        <rFont val="Arial"/>
        <family val="2"/>
      </rPr>
      <t xml:space="preserve">Expiry Notification </t>
    </r>
    <r>
      <rPr>
        <sz val="8"/>
        <color theme="1"/>
        <rFont val="Arial"/>
        <family val="2"/>
      </rPr>
      <t>(minutes):</t>
    </r>
  </si>
  <si>
    <t>Date T = - 3 Month e-mail was sent out:</t>
  </si>
  <si>
    <t>&lt; enter date sent &gt;</t>
  </si>
  <si>
    <t>Open the Product Appraisal KPI sheet and enter the following time as an 'Expiry Notification' activity:</t>
  </si>
  <si>
    <t>Tab Reference</t>
  </si>
  <si>
    <t>Expiry Notification</t>
  </si>
  <si>
    <t>Yes</t>
  </si>
  <si>
    <t>No</t>
  </si>
  <si>
    <t>Registration</t>
  </si>
  <si>
    <t>New product/s never assessed before</t>
  </si>
  <si>
    <t>Review of expired only product/s with no change since previous approval</t>
  </si>
  <si>
    <t>Review of expired product/s with new models being added</t>
  </si>
  <si>
    <t>Review of existing product/s with new changes made since last approval</t>
  </si>
  <si>
    <t>Review of existing product/s that has had issues identified with it in the field</t>
  </si>
  <si>
    <t>Index</t>
  </si>
  <si>
    <t>Product Type for review</t>
  </si>
  <si>
    <t>Passive Grease Arrestor</t>
  </si>
  <si>
    <t>Active Grease Separator</t>
  </si>
  <si>
    <t>Oil Water Separator</t>
  </si>
  <si>
    <t>Pits and Traps - Large Traps</t>
  </si>
  <si>
    <t>Pits and Traps - Basket or In-Sink/Floor Traps</t>
  </si>
  <si>
    <t>Additives</t>
  </si>
  <si>
    <t>Other</t>
  </si>
  <si>
    <t>Review Panel members</t>
  </si>
  <si>
    <r>
      <t xml:space="preserve">Regional C&amp;IS to have 2 weeks to undertake reviews </t>
    </r>
    <r>
      <rPr>
        <sz val="12"/>
        <color rgb="FFFF0000"/>
        <rFont val="Calibri"/>
        <family val="2"/>
      </rPr>
      <t>→</t>
    </r>
  </si>
  <si>
    <t>Andrew Manzinger</t>
  </si>
  <si>
    <t>Arash Shafizadeh</t>
  </si>
  <si>
    <r>
      <t xml:space="preserve">only change listing here </t>
    </r>
    <r>
      <rPr>
        <b/>
        <sz val="12"/>
        <color rgb="FF00B050"/>
        <rFont val="Calibri"/>
        <family val="2"/>
      </rPr>
      <t>→</t>
    </r>
  </si>
  <si>
    <t>Chris Karsten</t>
  </si>
  <si>
    <t>Graeme O'Neil</t>
  </si>
  <si>
    <t>Greg Rowles</t>
  </si>
  <si>
    <t>Kale Calderwood</t>
  </si>
  <si>
    <t>Nalinda Talagala</t>
  </si>
  <si>
    <t>Oscar Brennan</t>
  </si>
  <si>
    <t>Paul Papadopoulos</t>
  </si>
  <si>
    <t>Peta Cruttenden</t>
  </si>
  <si>
    <t>Peter Wilmot</t>
  </si>
  <si>
    <t>Steven Stride</t>
  </si>
  <si>
    <t>Inv Team - SO-FI</t>
  </si>
  <si>
    <t>Parveen Bhogal (SO-FI - Inv)</t>
  </si>
  <si>
    <t>TL - Inv</t>
  </si>
  <si>
    <t>Steve Jerkovic (TL - Inv)</t>
  </si>
  <si>
    <t>Skill Set</t>
  </si>
  <si>
    <t>(compliance)</t>
  </si>
  <si>
    <t>(FOGMan)</t>
  </si>
  <si>
    <t>(general)</t>
  </si>
  <si>
    <t>(plumbing)</t>
  </si>
  <si>
    <t>(Regional review)</t>
  </si>
  <si>
    <t>(treatment quality)</t>
  </si>
  <si>
    <t>Review - New or Existing with new models</t>
  </si>
  <si>
    <t>Part 2 &amp; 3 - Rating</t>
  </si>
  <si>
    <t>POSITIVE</t>
  </si>
  <si>
    <t>NEUTRAL</t>
  </si>
  <si>
    <t>NEGATIVE</t>
  </si>
  <si>
    <t>POSITIVE - NEUTRAL</t>
  </si>
  <si>
    <t>NEUTRAL - NEGATIVE</t>
  </si>
  <si>
    <t>Part 2 - Status</t>
  </si>
  <si>
    <t>Summary Send / Receive Status</t>
  </si>
  <si>
    <t>No further action at this stage.</t>
  </si>
  <si>
    <t>Feedback required.</t>
  </si>
  <si>
    <t>Final Status Conclusion for Each Item</t>
  </si>
  <si>
    <t>No further issues. Item closed.</t>
  </si>
  <si>
    <t>Requires further actioning!</t>
  </si>
  <si>
    <t>Part 5 - Manager Endorsement</t>
  </si>
  <si>
    <t>I reject the final recommendation made by the Review Team.</t>
  </si>
  <si>
    <t>I approve the final recommendation made by the Review Team, with no additional conditions.</t>
  </si>
  <si>
    <t>I approve the final recommendation made by the Review Team, but with the following conditions:</t>
  </si>
  <si>
    <t>I conditionally approve the final recommendation but the following items need to be suitably addressed by the proponent first:</t>
  </si>
  <si>
    <t>approved</t>
  </si>
  <si>
    <t>rejected</t>
  </si>
  <si>
    <t>Review - Existing with no previous changes</t>
  </si>
  <si>
    <t>Part 4 - TL Investigations Endorsement</t>
  </si>
  <si>
    <t>I approve the extension of the expired product/s with no new changes</t>
  </si>
  <si>
    <t>I approve the extension of the expired product/s with the following new changes:</t>
  </si>
  <si>
    <t>I reject the extension of the expired product/s for the reasons below:</t>
  </si>
  <si>
    <t>Request to Raise Revenue</t>
  </si>
  <si>
    <t>2018-2019 unit rates</t>
  </si>
  <si>
    <t>2019-2020 unit rates</t>
  </si>
  <si>
    <t>2020-2021 unit rates</t>
  </si>
  <si>
    <t>2021-2022 unit rates</t>
  </si>
  <si>
    <t>2022-2023 unit rates</t>
  </si>
  <si>
    <t>Receive Enquiry</t>
  </si>
  <si>
    <t>Establish AQUA File</t>
  </si>
  <si>
    <t>Establish NEXUS Folder</t>
  </si>
  <si>
    <t>Individual Reviews</t>
  </si>
  <si>
    <t>Summary &amp; Reply - Sent</t>
  </si>
  <si>
    <t>Summary &amp; Reply - Received</t>
  </si>
  <si>
    <t>Final Summary Proposal</t>
  </si>
  <si>
    <t>Final Recommendation</t>
  </si>
  <si>
    <t>Manager Endorsement</t>
  </si>
  <si>
    <t>Create Approval Cert</t>
  </si>
  <si>
    <t>Draft Approval Certificate and Finalisation Comments</t>
  </si>
  <si>
    <t>Final Reply to Applicant</t>
  </si>
  <si>
    <t>Request Web Page Update</t>
  </si>
  <si>
    <t>Request MIDAS Update</t>
  </si>
  <si>
    <t>Ongoing General Queries &amp; Replies</t>
  </si>
  <si>
    <t>Billing</t>
  </si>
  <si>
    <t>Administration</t>
  </si>
  <si>
    <t>Trade Waste Fees &amp; Charges</t>
  </si>
  <si>
    <t>Financial Year 2020/2021</t>
  </si>
  <si>
    <t>Name</t>
  </si>
  <si>
    <t>Description</t>
  </si>
  <si>
    <t>Units</t>
  </si>
  <si>
    <t>Charge</t>
  </si>
  <si>
    <t xml:space="preserve">Business Domestic </t>
  </si>
  <si>
    <t>$/kL</t>
  </si>
  <si>
    <t>Service Charges</t>
  </si>
  <si>
    <t>Establishment Fee</t>
  </si>
  <si>
    <t>$/hr</t>
  </si>
  <si>
    <t>Permit Fee</t>
  </si>
  <si>
    <t>All Permits</t>
  </si>
  <si>
    <t>each</t>
  </si>
  <si>
    <t>FOGMan Admin Fee</t>
  </si>
  <si>
    <t>Shared</t>
  </si>
  <si>
    <t>Washing Machine Fee</t>
  </si>
  <si>
    <t xml:space="preserve"> </t>
  </si>
  <si>
    <t>Inspection Fee</t>
  </si>
  <si>
    <t>Includes GST</t>
  </si>
  <si>
    <t>Meter Reading Fee</t>
  </si>
  <si>
    <t>Sampling Fee</t>
  </si>
  <si>
    <t>Scheduled - grab</t>
  </si>
  <si>
    <t>Scheduled  - Composite</t>
  </si>
  <si>
    <t>+ $330.99</t>
  </si>
  <si>
    <t>for each composite sample &gt;1, inclusive of GST</t>
  </si>
  <si>
    <t>Unscheduled - grab</t>
  </si>
  <si>
    <t>at cost</t>
  </si>
  <si>
    <t>Unscheduled  - Composite</t>
  </si>
  <si>
    <t>Open Area Fee</t>
  </si>
  <si>
    <t>$/m2</t>
  </si>
  <si>
    <t>One-off Discharge Fee</t>
  </si>
  <si>
    <t>Product Evaluation</t>
  </si>
  <si>
    <t>Variable Charges</t>
  </si>
  <si>
    <t>Volume</t>
  </si>
  <si>
    <t>N/A</t>
  </si>
  <si>
    <t>BOD</t>
  </si>
  <si>
    <t>0 - 5,000 mg/L</t>
  </si>
  <si>
    <t>$/kg</t>
  </si>
  <si>
    <t>Above 5,000 mg/L</t>
  </si>
  <si>
    <t>COD</t>
  </si>
  <si>
    <t>0 – 10,000 mg/L</t>
  </si>
  <si>
    <t>Above 10,000 mg/L</t>
  </si>
  <si>
    <t>Suspended Solids</t>
  </si>
  <si>
    <t xml:space="preserve">0 – 2,000 mg/L </t>
  </si>
  <si>
    <t xml:space="preserve">Above 2,000 mg/L </t>
  </si>
  <si>
    <t>Oil &amp; Grease</t>
  </si>
  <si>
    <t>0 – 300 mg/L</t>
  </si>
  <si>
    <t>300 - 600 mg/L</t>
  </si>
  <si>
    <t>Above 600 mg/L</t>
  </si>
  <si>
    <t>Acidity</t>
  </si>
  <si>
    <t>0-100 mg/L</t>
  </si>
  <si>
    <t>$/kg CaCO3</t>
  </si>
  <si>
    <t>100-300 mg/L</t>
  </si>
  <si>
    <t>Above 300 mg/L</t>
  </si>
  <si>
    <t>Alkalinity</t>
  </si>
  <si>
    <t>100-200 mg/L</t>
  </si>
  <si>
    <t>Above 200 mg/L</t>
  </si>
  <si>
    <t>Nitrogen</t>
  </si>
  <si>
    <t>Phosphorus</t>
  </si>
  <si>
    <t>Sulphate</t>
  </si>
  <si>
    <t>0 - 50 mg/L</t>
  </si>
  <si>
    <t>No Charge</t>
  </si>
  <si>
    <t>Above 50 mg/L</t>
  </si>
  <si>
    <t>TDS</t>
  </si>
  <si>
    <t>0 – 1,000 mg/L</t>
  </si>
  <si>
    <t>1,000 – 3,000 mg/L</t>
  </si>
  <si>
    <t>3,000 – 6,000 mg/L</t>
  </si>
  <si>
    <t>Above 6,000 mg/L</t>
  </si>
  <si>
    <t>Chromium</t>
  </si>
  <si>
    <t>0 – 30 g per day</t>
  </si>
  <si>
    <t>30 – 1,000 g per day</t>
  </si>
  <si>
    <t>Above 1,000 g per day</t>
  </si>
  <si>
    <t>Copper</t>
  </si>
  <si>
    <t>30 – 120 g per day</t>
  </si>
  <si>
    <t>Above 120 g per day</t>
  </si>
  <si>
    <t>Lead</t>
  </si>
  <si>
    <t>30 – 300 g per day</t>
  </si>
  <si>
    <t>Above 300 g per day</t>
  </si>
  <si>
    <t>Nickel</t>
  </si>
  <si>
    <t>0 – 6 g per day</t>
  </si>
  <si>
    <t>6 – 150 g per day</t>
  </si>
  <si>
    <t>Above 150 g per day</t>
  </si>
  <si>
    <t>Zinc</t>
  </si>
  <si>
    <t>0 – 50 g per day</t>
  </si>
  <si>
    <t>50 – 500 g per day</t>
  </si>
  <si>
    <t>Above 500 g per day</t>
  </si>
  <si>
    <t>Arsenic</t>
  </si>
  <si>
    <t>0 – 1 g per day</t>
  </si>
  <si>
    <t>1 – 40 g per day</t>
  </si>
  <si>
    <t>Above 40 g per day</t>
  </si>
  <si>
    <t>Cadmium</t>
  </si>
  <si>
    <t>1 – 15 g per day</t>
  </si>
  <si>
    <t>Above 15 g per day</t>
  </si>
  <si>
    <t>Molybdenum</t>
  </si>
  <si>
    <t>1 – 20 g per day</t>
  </si>
  <si>
    <t>Above 20 g per day</t>
  </si>
  <si>
    <t>Selenium</t>
  </si>
  <si>
    <t>Silver</t>
  </si>
  <si>
    <t>0 –2 g per day</t>
  </si>
  <si>
    <t>2 – 10 g per day</t>
  </si>
  <si>
    <t>Above 10 g per day</t>
  </si>
  <si>
    <t>Mercury</t>
  </si>
  <si>
    <t>0 – 0.1 g per day</t>
  </si>
  <si>
    <t>0.1 – 1 g per day</t>
  </si>
  <si>
    <t>Above 1 g per day</t>
  </si>
  <si>
    <t>GCMS Scan</t>
  </si>
  <si>
    <t>Updated 5/12/17 applicable to November 2022</t>
  </si>
  <si>
    <t>Glyphosate</t>
  </si>
  <si>
    <t>Updated 5/12/17</t>
  </si>
  <si>
    <t>TPH</t>
  </si>
  <si>
    <t>BTEX</t>
  </si>
  <si>
    <t>BNP (specific base nuetral pesticide scan)</t>
  </si>
  <si>
    <t>Updated 11/10/19 Specific price advised by Andrew Harvey ARL email 11/10/19</t>
  </si>
  <si>
    <t>Effluent discharged from a septic tank or effluent pumping system ($/kL)</t>
  </si>
  <si>
    <t>Third Party Tankered Waste:</t>
  </si>
  <si>
    <t>20/21</t>
  </si>
  <si>
    <t>Fixed Charge</t>
  </si>
  <si>
    <t>Volumetric Charges /kL (pre GST)</t>
  </si>
  <si>
    <t>Category 1.01 (K100)</t>
  </si>
  <si>
    <t>Animal waste</t>
  </si>
  <si>
    <t>Category 1.02 (K210)</t>
  </si>
  <si>
    <t>Septage</t>
  </si>
  <si>
    <t xml:space="preserve">Shipping waste </t>
  </si>
  <si>
    <t xml:space="preserve"> (0-150kL)</t>
  </si>
  <si>
    <t xml:space="preserve">Shipping waste  </t>
  </si>
  <si>
    <t>(over 150kL)</t>
  </si>
  <si>
    <t>Category 1.03 (K110)</t>
  </si>
  <si>
    <t>Grease Trap</t>
  </si>
  <si>
    <t>Category 1.04 (K200)</t>
  </si>
  <si>
    <t>Winery Waste</t>
  </si>
  <si>
    <t>Category 14 (L150)</t>
  </si>
  <si>
    <t>Pond Water</t>
  </si>
  <si>
    <t>Financial Year 2021/2022</t>
  </si>
  <si>
    <t>Red indicates yet to be updated to 21/22 prices</t>
  </si>
  <si>
    <t>+ $324.50</t>
  </si>
  <si>
    <t>One-off Discharge Admin Fee</t>
  </si>
  <si>
    <t>One-off Discharge Inspection</t>
  </si>
  <si>
    <t>21/22</t>
  </si>
  <si>
    <t>Volumetric Charges</t>
  </si>
  <si>
    <t>Category 1.01</t>
  </si>
  <si>
    <t>Category 1.02</t>
  </si>
  <si>
    <t>Category 1.03</t>
  </si>
  <si>
    <t>Category 1.04</t>
  </si>
  <si>
    <t>Category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</si>
</sst>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164" formatCode="&quot;$&quot;#,##0.00;\-&quot;$&quot;#,##0.00"/>
    <numFmt numFmtId="165" formatCode="&quot;$&quot;#,##0.00;[Red]\-&quot;$&quot;#,##0.00"/>
    <numFmt numFmtId="166" formatCode="_-&quot;$&quot;* #,##0.00_-;\-&quot;$&quot;* #,##0.00_-;_-&quot;$&quot;* &quot;-&quot;??_-;_-@_-"/>
    <numFmt numFmtId="167" formatCode="[$-C09]d\ mmmm\ yyyy;@"/>
    <numFmt numFmtId="168" formatCode="dd\ mmm\ yyyy"/>
    <numFmt numFmtId="169" formatCode="0.0"/>
    <numFmt numFmtId="170" formatCode="dd\ mmmm\ yyyy"/>
    <numFmt numFmtId="171" formatCode="0.000"/>
    <numFmt numFmtId="172" formatCode="d\-mmm\-yyyy"/>
  </numFmts>
  <fonts count="143">
    <font>
      <sz val="11"/>
      <color theme="1"/>
      <name val="Calibri"/>
      <family val="2"/>
      <scheme val="minor"/>
    </font>
    <font>
      <sz val="10"/>
      <color theme="1"/>
      <name val="Arial"/>
      <family val="2"/>
    </font>
    <font>
      <sz val="10"/>
      <color theme="1"/>
      <name val="Verdana"/>
      <family val="2"/>
    </font>
    <font>
      <b/>
      <sz val="10"/>
      <color rgb="FF4D4D4D"/>
      <name val="Verdana"/>
      <family val="2"/>
    </font>
    <font>
      <b/>
      <sz val="9.5"/>
      <color rgb="FF4D4D4D"/>
      <name val="Verdana"/>
      <family val="2"/>
    </font>
    <font>
      <b/>
      <sz val="7"/>
      <color rgb="FF4D4D4D"/>
      <name val="Times New Roman"/>
      <family val="1"/>
    </font>
    <font>
      <sz val="8"/>
      <color rgb="FF4D4D4D"/>
      <name val="Verdana"/>
      <family val="2"/>
    </font>
    <font>
      <sz val="2"/>
      <color rgb="FF4D4D4D"/>
      <name val="Verdana"/>
      <family val="2"/>
    </font>
    <font>
      <b/>
      <sz val="2"/>
      <color rgb="FF4D4D4D"/>
      <name val="Verdana"/>
      <family val="2"/>
    </font>
    <font>
      <sz val="8.5"/>
      <color rgb="FF4D4D4D"/>
      <name val="Verdana"/>
      <family val="2"/>
    </font>
    <font>
      <sz val="8.5"/>
      <color theme="1"/>
      <name val="Calibri"/>
      <family val="2"/>
      <scheme val="minor"/>
    </font>
    <font>
      <sz val="8.5"/>
      <color theme="1"/>
      <name val="Verdana"/>
      <family val="2"/>
    </font>
    <font>
      <i/>
      <sz val="8.5"/>
      <color rgb="FF4D4D4D"/>
      <name val="Verdana"/>
      <family val="2"/>
    </font>
    <font>
      <sz val="2"/>
      <color rgb="FFFF0000"/>
      <name val="Verdana"/>
      <family val="2"/>
    </font>
    <font>
      <sz val="8.5"/>
      <color rgb="FFFF0000"/>
      <name val="Calibri"/>
      <family val="2"/>
      <scheme val="minor"/>
    </font>
    <font>
      <sz val="8.5"/>
      <color rgb="FFFF0000"/>
      <name val="Verdana"/>
      <family val="2"/>
    </font>
    <font>
      <sz val="4"/>
      <color rgb="FF4D4D4D"/>
      <name val="Verdana"/>
      <family val="2"/>
    </font>
    <font>
      <u/>
      <sz val="11"/>
      <color theme="10"/>
      <name val="Calibri"/>
      <family val="2"/>
      <scheme val="minor"/>
    </font>
    <font>
      <b/>
      <sz val="8.5"/>
      <color rgb="FF4D4D4D"/>
      <name val="Verdana"/>
      <family val="2"/>
    </font>
    <font>
      <sz val="8.5"/>
      <color rgb="FF0072A7"/>
      <name val="Verdana"/>
      <family val="2"/>
    </font>
    <font>
      <sz val="11"/>
      <color rgb="FF4D4D4D"/>
      <name val="Calibri"/>
      <family val="2"/>
      <scheme val="minor"/>
    </font>
    <font>
      <sz val="8.5"/>
      <color rgb="FF4D4D4D"/>
      <name val="Calibri"/>
      <family val="2"/>
    </font>
    <font>
      <sz val="8.5"/>
      <color theme="1"/>
      <name val="Calibri"/>
      <family val="2"/>
    </font>
    <font>
      <sz val="12"/>
      <color theme="1"/>
      <name val="Arial"/>
      <family val="2"/>
    </font>
    <font>
      <b/>
      <sz val="12"/>
      <color theme="1"/>
      <name val="Arial"/>
      <family val="2"/>
    </font>
    <font>
      <sz val="12"/>
      <color rgb="FFFF0000"/>
      <name val="Arial"/>
      <family val="2"/>
    </font>
    <font>
      <sz val="14"/>
      <color theme="1"/>
      <name val="Wingdings"/>
      <charset val="2"/>
    </font>
    <font>
      <sz val="8"/>
      <color theme="1"/>
      <name val="Arial"/>
      <family val="2"/>
    </font>
    <font>
      <b/>
      <sz val="12"/>
      <color theme="0"/>
      <name val="Arial"/>
      <family val="2"/>
    </font>
    <font>
      <b/>
      <sz val="12"/>
      <color rgb="FFFFFF00"/>
      <name val="Arial"/>
      <family val="2"/>
    </font>
    <font>
      <b/>
      <sz val="11"/>
      <color rgb="FFFFFF00"/>
      <name val="Calibri"/>
      <family val="2"/>
      <scheme val="minor"/>
    </font>
    <font>
      <b/>
      <sz val="12"/>
      <color rgb="FFFF0000"/>
      <name val="Arial"/>
      <family val="2"/>
    </font>
    <font>
      <b/>
      <sz val="8"/>
      <color theme="1"/>
      <name val="Arial"/>
      <family val="2"/>
    </font>
    <font>
      <sz val="10"/>
      <color rgb="FF574123"/>
      <name val="Tahoma"/>
      <family val="2"/>
    </font>
    <font>
      <sz val="8"/>
      <color rgb="FFFFFF00"/>
      <name val="Arial"/>
      <family val="2"/>
    </font>
    <font>
      <b/>
      <sz val="10"/>
      <color theme="1"/>
      <name val="Arial"/>
      <family val="2"/>
    </font>
    <font>
      <sz val="10"/>
      <color theme="1"/>
      <name val="Calibri"/>
      <family val="2"/>
      <scheme val="minor"/>
    </font>
    <font>
      <sz val="11"/>
      <color rgb="FFFF0000"/>
      <name val="Calibri"/>
      <family val="2"/>
      <scheme val="minor"/>
    </font>
    <font>
      <b/>
      <sz val="11"/>
      <color theme="1"/>
      <name val="Calibri"/>
      <family val="2"/>
      <scheme val="minor"/>
    </font>
    <font>
      <sz val="8"/>
      <color rgb="FFFF0000"/>
      <name val="Arial"/>
      <family val="2"/>
    </font>
    <font>
      <i/>
      <sz val="8"/>
      <color rgb="FF00B0F0"/>
      <name val="Arial"/>
      <family val="2"/>
    </font>
    <font>
      <b/>
      <i/>
      <sz val="8"/>
      <color theme="1"/>
      <name val="Arial"/>
      <family val="2"/>
    </font>
    <font>
      <sz val="8"/>
      <color rgb="FFFF0000"/>
      <name val="Aril"/>
    </font>
    <font>
      <sz val="8"/>
      <name val="Arial"/>
      <family val="2"/>
    </font>
    <font>
      <sz val="8"/>
      <name val="Aril"/>
    </font>
    <font>
      <sz val="11"/>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6"/>
      <color rgb="FFFF0000"/>
      <name val="Calibri"/>
      <family val="2"/>
      <scheme val="minor"/>
    </font>
    <font>
      <sz val="8"/>
      <color theme="1"/>
      <name val="Calibri"/>
      <family val="2"/>
      <scheme val="minor"/>
    </font>
    <font>
      <b/>
      <sz val="12"/>
      <color rgb="FF3333FF"/>
      <name val="Calibri"/>
      <family val="2"/>
      <scheme val="minor"/>
    </font>
    <font>
      <sz val="12"/>
      <name val="Calibri"/>
      <family val="2"/>
      <scheme val="minor"/>
    </font>
    <font>
      <sz val="10"/>
      <name val="Helv"/>
    </font>
    <font>
      <sz val="10"/>
      <name val="Arial"/>
      <family val="2"/>
    </font>
    <font>
      <b/>
      <sz val="12"/>
      <color rgb="FFFF0000"/>
      <name val="Calibri"/>
      <family val="2"/>
      <scheme val="minor"/>
    </font>
    <font>
      <b/>
      <sz val="12"/>
      <name val="Arial"/>
      <family val="2"/>
    </font>
    <font>
      <sz val="12"/>
      <name val="Arial"/>
      <family val="2"/>
    </font>
    <font>
      <b/>
      <sz val="10"/>
      <name val="Arial"/>
      <family val="2"/>
    </font>
    <font>
      <b/>
      <sz val="11"/>
      <color rgb="FF3333FF"/>
      <name val="Calibri"/>
      <family val="2"/>
      <scheme val="minor"/>
    </font>
    <font>
      <sz val="10"/>
      <color rgb="FFFF0000"/>
      <name val="Arial"/>
      <family val="2"/>
    </font>
    <font>
      <u/>
      <sz val="8"/>
      <color theme="10"/>
      <name val="Arial"/>
      <family val="2"/>
    </font>
    <font>
      <b/>
      <sz val="8"/>
      <color rgb="FFFF0000"/>
      <name val="Arial"/>
      <family val="2"/>
    </font>
    <font>
      <sz val="8"/>
      <color theme="1"/>
      <name val="Wingdings 2"/>
      <family val="1"/>
      <charset val="2"/>
    </font>
    <font>
      <b/>
      <sz val="11"/>
      <color rgb="FFFF0000"/>
      <name val="Calibri"/>
      <family val="2"/>
      <scheme val="minor"/>
    </font>
    <font>
      <b/>
      <i/>
      <sz val="12"/>
      <color theme="1"/>
      <name val="Arial"/>
      <family val="2"/>
    </font>
    <font>
      <sz val="12"/>
      <color rgb="FF3333FF"/>
      <name val="Arial"/>
      <family val="2"/>
    </font>
    <font>
      <b/>
      <sz val="16"/>
      <color theme="1"/>
      <name val="Arial"/>
      <family val="2"/>
    </font>
    <font>
      <b/>
      <sz val="16"/>
      <color theme="1"/>
      <name val="Calibri"/>
      <family val="2"/>
      <scheme val="minor"/>
    </font>
    <font>
      <sz val="11"/>
      <color rgb="FFFFFF00"/>
      <name val="Calibri"/>
      <family val="2"/>
      <scheme val="minor"/>
    </font>
    <font>
      <sz val="8"/>
      <color theme="1"/>
      <name val="Calibri"/>
      <family val="2"/>
    </font>
    <font>
      <sz val="11"/>
      <color theme="1"/>
      <name val="Calibri"/>
      <family val="2"/>
    </font>
    <font>
      <sz val="10"/>
      <color rgb="FFFFFF00"/>
      <name val="Wingdings"/>
      <charset val="2"/>
    </font>
    <font>
      <sz val="10"/>
      <color rgb="FFFFFF00"/>
      <name val="Arial"/>
      <family val="2"/>
    </font>
    <font>
      <sz val="12"/>
      <color rgb="FFFFFF00"/>
      <name val="Arial"/>
      <family val="2"/>
    </font>
    <font>
      <b/>
      <sz val="10"/>
      <color rgb="FFFF0000"/>
      <name val="Arial"/>
      <family val="2"/>
    </font>
    <font>
      <sz val="14"/>
      <color rgb="FFFF0000"/>
      <name val="Arial"/>
      <family val="2"/>
    </font>
    <font>
      <u/>
      <sz val="8"/>
      <color theme="1"/>
      <name val="Arial"/>
      <family val="2"/>
    </font>
    <font>
      <b/>
      <sz val="12"/>
      <color rgb="FF0095A9"/>
      <name val="Verdana"/>
      <family val="2"/>
    </font>
    <font>
      <sz val="14"/>
      <color rgb="FFFFFF00"/>
      <name val="Arial"/>
      <family val="2"/>
    </font>
    <font>
      <sz val="14"/>
      <color theme="1"/>
      <name val="Calibri"/>
      <family val="2"/>
      <scheme val="minor"/>
    </font>
    <font>
      <b/>
      <sz val="14"/>
      <color rgb="FFFFFF00"/>
      <name val="Arial"/>
      <family val="2"/>
    </font>
    <font>
      <b/>
      <i/>
      <sz val="14"/>
      <name val="Arial"/>
      <family val="2"/>
    </font>
    <font>
      <sz val="14"/>
      <color rgb="FFFFFF00"/>
      <name val="Wingdings"/>
      <charset val="2"/>
    </font>
    <font>
      <sz val="12"/>
      <color theme="0"/>
      <name val="Arial"/>
      <family val="2"/>
    </font>
    <font>
      <b/>
      <sz val="22"/>
      <color theme="1"/>
      <name val="Arial"/>
      <family val="2"/>
    </font>
    <font>
      <sz val="11"/>
      <color theme="1"/>
      <name val="Wingdings"/>
      <charset val="2"/>
    </font>
    <font>
      <sz val="2"/>
      <color theme="1"/>
      <name val="Calibri"/>
      <family val="2"/>
      <scheme val="minor"/>
    </font>
    <font>
      <sz val="2"/>
      <color theme="1"/>
      <name val="Arial"/>
      <family val="2"/>
    </font>
    <font>
      <sz val="2"/>
      <color theme="0"/>
      <name val="Arial"/>
      <family val="2"/>
    </font>
    <font>
      <sz val="2"/>
      <color rgb="FFCC00CC"/>
      <name val="Arial"/>
      <family val="2"/>
    </font>
    <font>
      <sz val="2"/>
      <color rgb="FFFFFF00"/>
      <name val="Arial"/>
      <family val="2"/>
    </font>
    <font>
      <sz val="8"/>
      <color rgb="FFFF0000"/>
      <name val="Calibri"/>
      <family val="2"/>
      <scheme val="minor"/>
    </font>
    <font>
      <sz val="11"/>
      <color theme="1"/>
      <name val="Verdana"/>
      <family val="2"/>
    </font>
    <font>
      <sz val="11"/>
      <color rgb="FFFF0000"/>
      <name val="Verdana"/>
      <family val="2"/>
    </font>
    <font>
      <sz val="11"/>
      <color rgb="FFDAEEF3"/>
      <name val="Verdana"/>
      <family val="2"/>
    </font>
    <font>
      <i/>
      <sz val="11"/>
      <color rgb="FF0070C0"/>
      <name val="Verdana"/>
      <family val="2"/>
    </font>
    <font>
      <sz val="11"/>
      <color theme="0"/>
      <name val="Verdana"/>
      <family val="2"/>
    </font>
    <font>
      <sz val="11"/>
      <color rgb="FFCC00CC"/>
      <name val="Verdana"/>
      <family val="2"/>
    </font>
    <font>
      <sz val="11"/>
      <color rgb="FFFDE9D9"/>
      <name val="Verdana"/>
      <family val="2"/>
    </font>
    <font>
      <sz val="8"/>
      <color theme="0"/>
      <name val="Arial"/>
      <family val="2"/>
    </font>
    <font>
      <sz val="11"/>
      <color rgb="FFB7DEE8"/>
      <name val="Verdana"/>
      <family val="2"/>
    </font>
    <font>
      <b/>
      <sz val="8"/>
      <color theme="0"/>
      <name val="Arial"/>
      <family val="2"/>
    </font>
    <font>
      <b/>
      <sz val="10"/>
      <color theme="1"/>
      <name val="Calibri"/>
      <family val="2"/>
      <scheme val="minor"/>
    </font>
    <font>
      <sz val="8"/>
      <color theme="1"/>
      <name val="Wingdings"/>
      <charset val="2"/>
    </font>
    <font>
      <sz val="11"/>
      <color theme="9" tint="0.59999389629810485"/>
      <name val="Verdana"/>
      <family val="2"/>
    </font>
    <font>
      <i/>
      <sz val="8"/>
      <color rgb="FF0070C0"/>
      <name val="Arial"/>
      <family val="2"/>
    </font>
    <font>
      <b/>
      <sz val="12"/>
      <color rgb="FF00B050"/>
      <name val="Arial"/>
      <family val="2"/>
    </font>
    <font>
      <b/>
      <sz val="12"/>
      <color rgb="FF00B050"/>
      <name val="Calibri"/>
      <family val="2"/>
    </font>
    <font>
      <sz val="12"/>
      <color rgb="FFFF0000"/>
      <name val="Calibri"/>
      <family val="2"/>
      <scheme val="minor"/>
    </font>
    <font>
      <sz val="12"/>
      <color rgb="FF3333FF"/>
      <name val="Calibri"/>
      <family val="2"/>
      <scheme val="minor"/>
    </font>
    <font>
      <sz val="11"/>
      <color rgb="FF3333FF"/>
      <name val="Calibri"/>
      <family val="2"/>
      <scheme val="minor"/>
    </font>
    <font>
      <sz val="12"/>
      <color theme="1"/>
      <name val="Symbol"/>
      <family val="1"/>
      <charset val="2"/>
    </font>
    <font>
      <u/>
      <sz val="12"/>
      <color theme="10"/>
      <name val="Aril"/>
    </font>
    <font>
      <b/>
      <u/>
      <sz val="8"/>
      <color theme="1"/>
      <name val="Arial"/>
      <family val="2"/>
    </font>
    <font>
      <u/>
      <sz val="10"/>
      <color theme="10"/>
      <name val="Arial"/>
      <family val="2"/>
    </font>
    <font>
      <sz val="11"/>
      <color theme="1"/>
      <name val="Calibri"/>
      <family val="2"/>
      <scheme val="minor"/>
    </font>
    <font>
      <sz val="11"/>
      <color theme="10"/>
      <name val="Calibri"/>
      <family val="2"/>
      <scheme val="minor"/>
    </font>
    <font>
      <b/>
      <sz val="12.5"/>
      <color rgb="FFFF0000"/>
      <name val="Calibri"/>
      <family val="2"/>
      <scheme val="minor"/>
    </font>
    <font>
      <sz val="12.5"/>
      <color theme="1"/>
      <name val="Calibri"/>
      <family val="2"/>
      <scheme val="minor"/>
    </font>
    <font>
      <b/>
      <sz val="18"/>
      <color rgb="FF084976"/>
      <name val="Verdana"/>
      <family val="2"/>
    </font>
    <font>
      <sz val="18"/>
      <color rgb="FF084976"/>
      <name val="Calibri"/>
      <family val="2"/>
      <scheme val="minor"/>
    </font>
    <font>
      <sz val="18"/>
      <color theme="1"/>
      <name val="Calibri"/>
      <family val="2"/>
      <scheme val="minor"/>
    </font>
    <font>
      <u/>
      <sz val="12"/>
      <color theme="10"/>
      <name val="Calibri"/>
      <family val="2"/>
      <scheme val="minor"/>
    </font>
    <font>
      <b/>
      <sz val="8"/>
      <color rgb="FF00B050"/>
      <name val="Arial"/>
      <family val="2"/>
    </font>
    <font>
      <b/>
      <sz val="8"/>
      <color rgb="FF00B050"/>
      <name val="Calibri"/>
      <family val="2"/>
      <scheme val="minor"/>
    </font>
    <font>
      <u/>
      <sz val="11"/>
      <color rgb="FF3333FF"/>
      <name val="Calibri"/>
      <family val="2"/>
      <scheme val="minor"/>
    </font>
    <font>
      <sz val="14"/>
      <name val="Arial"/>
      <family val="2"/>
    </font>
    <font>
      <u/>
      <sz val="8.5"/>
      <color theme="10"/>
      <name val="Verdana"/>
      <family val="2"/>
    </font>
    <font>
      <sz val="1"/>
      <color rgb="FF4D4D4D"/>
      <name val="Verdana"/>
      <family val="2"/>
    </font>
    <font>
      <b/>
      <sz val="8.5"/>
      <color rgb="FFFF0000"/>
      <name val="Verdana"/>
      <family val="2"/>
    </font>
    <font>
      <b/>
      <u/>
      <sz val="8.5"/>
      <color rgb="FFFF0000"/>
      <name val="Verdana"/>
      <family val="2"/>
    </font>
    <font>
      <b/>
      <i/>
      <sz val="8.5"/>
      <color rgb="FFFF0000"/>
      <name val="Verdana"/>
      <family val="2"/>
    </font>
    <font>
      <b/>
      <sz val="1"/>
      <color rgb="FFFF0000"/>
      <name val="Verdana"/>
      <family val="2"/>
    </font>
    <font>
      <b/>
      <sz val="4"/>
      <color rgb="FF084976"/>
      <name val="Verdana"/>
      <family val="2"/>
    </font>
    <font>
      <b/>
      <sz val="5"/>
      <color rgb="FF084976"/>
      <name val="Verdana"/>
      <family val="2"/>
    </font>
    <font>
      <i/>
      <sz val="8.5"/>
      <color theme="1"/>
      <name val="Verdana"/>
      <family val="2"/>
    </font>
    <font>
      <sz val="4"/>
      <color theme="1"/>
      <name val="Verdana"/>
      <family val="2"/>
    </font>
    <font>
      <sz val="12"/>
      <color rgb="FFFF0000"/>
      <name val="Calibri"/>
      <family val="2"/>
    </font>
    <font>
      <b/>
      <sz val="12"/>
      <color rgb="FF3333FF"/>
      <name val="Arial"/>
      <family val="2"/>
    </font>
    <font>
      <b/>
      <sz val="30"/>
      <color rgb="FFFF0000"/>
      <name val="Calibri"/>
      <family val="2"/>
      <scheme val="minor"/>
    </font>
    <font>
      <sz val="8.5"/>
      <color rgb="FF000000"/>
      <name val="Verdana"/>
      <family val="2"/>
    </font>
    <font>
      <sz val="11"/>
      <color rgb="FF000000"/>
      <name val="Calibri"/>
      <family val="2"/>
      <scheme val="minor"/>
    </font>
  </fonts>
  <fills count="24">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CFFFF"/>
        <bgColor indexed="64"/>
      </patternFill>
    </fill>
    <fill>
      <patternFill patternType="solid">
        <fgColor rgb="FFFFC000"/>
        <bgColor indexed="64"/>
      </patternFill>
    </fill>
    <fill>
      <patternFill patternType="solid">
        <fgColor theme="6" tint="0.39997558519241921"/>
        <bgColor indexed="64"/>
      </patternFill>
    </fill>
    <fill>
      <patternFill patternType="solid">
        <fgColor rgb="FF0070C0"/>
        <bgColor indexed="64"/>
      </patternFill>
    </fill>
    <fill>
      <patternFill patternType="solid">
        <fgColor rgb="FFB7DEE8"/>
        <bgColor indexed="64"/>
      </patternFill>
    </fill>
    <fill>
      <patternFill patternType="solid">
        <fgColor rgb="FFDAEEF3"/>
        <bgColor indexed="64"/>
      </patternFill>
    </fill>
    <fill>
      <patternFill patternType="solid">
        <fgColor rgb="FFFCD5B4"/>
        <bgColor indexed="64"/>
      </patternFill>
    </fill>
    <fill>
      <patternFill patternType="solid">
        <fgColor rgb="FFFDE9D9"/>
        <bgColor indexed="64"/>
      </patternFill>
    </fill>
    <fill>
      <patternFill patternType="solid">
        <fgColor rgb="FFFF0000"/>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rgb="FF00B050"/>
        <bgColor indexed="64"/>
      </patternFill>
    </fill>
  </fills>
  <borders count="42">
    <border>
      <left/>
      <right/>
      <top/>
      <bottom/>
      <diagonal/>
    </border>
    <border>
      <left style="thin">
        <color rgb="FF4D4D4D"/>
      </left>
      <right style="thin">
        <color rgb="FF4D4D4D"/>
      </right>
      <top style="thin">
        <color rgb="FF4D4D4D"/>
      </top>
      <bottom style="thin">
        <color rgb="FF4D4D4D"/>
      </bottom>
      <diagonal/>
    </border>
    <border>
      <left style="thin">
        <color rgb="FF4D4D4D"/>
      </left>
      <right/>
      <top style="thin">
        <color rgb="FF4D4D4D"/>
      </top>
      <bottom style="thin">
        <color rgb="FF4D4D4D"/>
      </bottom>
      <diagonal/>
    </border>
    <border>
      <left/>
      <right/>
      <top style="thin">
        <color rgb="FF4D4D4D"/>
      </top>
      <bottom style="thin">
        <color rgb="FF4D4D4D"/>
      </bottom>
      <diagonal/>
    </border>
    <border>
      <left/>
      <right style="thin">
        <color rgb="FF4D4D4D"/>
      </right>
      <top style="thin">
        <color rgb="FF4D4D4D"/>
      </top>
      <bottom style="thin">
        <color rgb="FF4D4D4D"/>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thin">
        <color rgb="FF4D4D4D"/>
      </bottom>
      <diagonal/>
    </border>
    <border>
      <left style="thin">
        <color auto="1"/>
      </left>
      <right style="thin">
        <color auto="1"/>
      </right>
      <top style="thin">
        <color auto="1"/>
      </top>
      <bottom style="double">
        <color auto="1"/>
      </bottom>
      <diagonal/>
    </border>
    <border>
      <left style="thin">
        <color rgb="FF4D4D4D"/>
      </left>
      <right/>
      <top style="thin">
        <color rgb="FF4D4D4D"/>
      </top>
      <bottom/>
      <diagonal/>
    </border>
    <border>
      <left/>
      <right/>
      <top style="thin">
        <color rgb="FF4D4D4D"/>
      </top>
      <bottom/>
      <diagonal/>
    </border>
    <border>
      <left/>
      <right style="thin">
        <color rgb="FF4D4D4D"/>
      </right>
      <top style="thin">
        <color rgb="FF4D4D4D"/>
      </top>
      <bottom/>
      <diagonal/>
    </border>
    <border>
      <left style="thin">
        <color rgb="FF4D4D4D"/>
      </left>
      <right/>
      <top/>
      <bottom/>
      <diagonal/>
    </border>
    <border>
      <left/>
      <right style="thin">
        <color rgb="FF4D4D4D"/>
      </right>
      <top/>
      <bottom/>
      <diagonal/>
    </border>
    <border>
      <left style="thin">
        <color rgb="FF4D4D4D"/>
      </left>
      <right/>
      <top/>
      <bottom style="thin">
        <color rgb="FF4D4D4D"/>
      </bottom>
      <diagonal/>
    </border>
    <border>
      <left/>
      <right style="thin">
        <color rgb="FF4D4D4D"/>
      </right>
      <top/>
      <bottom style="thin">
        <color rgb="FF4D4D4D"/>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s>
  <cellStyleXfs count="10">
    <xf numFmtId="0" fontId="0" fillId="0" borderId="0"/>
    <xf numFmtId="0" fontId="17" fillId="0" borderId="0" applyNumberFormat="0" applyFill="0" applyBorder="0" applyAlignment="0" applyProtection="0"/>
    <xf numFmtId="0" fontId="53" fillId="0" borderId="0"/>
    <xf numFmtId="0" fontId="54" fillId="0" borderId="0"/>
    <xf numFmtId="0" fontId="54" fillId="0" borderId="0"/>
    <xf numFmtId="0" fontId="54" fillId="0" borderId="0"/>
    <xf numFmtId="166" fontId="54" fillId="0" borderId="0" applyFont="0" applyFill="0" applyBorder="0" applyAlignment="0" applyProtection="0"/>
    <xf numFmtId="0" fontId="116" fillId="0" borderId="0"/>
    <xf numFmtId="165" fontId="53" fillId="0" borderId="0" applyFont="0" applyFill="0" applyBorder="0" applyAlignment="0" applyProtection="0"/>
    <xf numFmtId="8" fontId="53" fillId="0" borderId="0" applyFont="0" applyFill="0" applyBorder="0" applyAlignment="0" applyProtection="0"/>
  </cellStyleXfs>
  <cellXfs count="734">
    <xf numFmtId="0" fontId="0" fillId="0" borderId="0" xfId="0"/>
    <xf numFmtId="0" fontId="2" fillId="0" borderId="0" xfId="0" applyFont="1"/>
    <xf numFmtId="0" fontId="11" fillId="0" borderId="0" xfId="0" applyFont="1"/>
    <xf numFmtId="0" fontId="22" fillId="0" borderId="2" xfId="0" applyFont="1" applyBorder="1" applyAlignment="1">
      <alignment horizontal="center" vertical="center"/>
    </xf>
    <xf numFmtId="0" fontId="11" fillId="0" borderId="10" xfId="0" applyFont="1" applyBorder="1"/>
    <xf numFmtId="0" fontId="11" fillId="0" borderId="11" xfId="0" applyFont="1" applyBorder="1"/>
    <xf numFmtId="0" fontId="21" fillId="0" borderId="12" xfId="0" applyFont="1" applyBorder="1" applyAlignment="1">
      <alignment horizontal="center" vertical="top"/>
    </xf>
    <xf numFmtId="0" fontId="11" fillId="0" borderId="13" xfId="0" applyFont="1" applyBorder="1"/>
    <xf numFmtId="0" fontId="16" fillId="0" borderId="0" xfId="0" applyFont="1" applyAlignment="1">
      <alignment vertical="center"/>
    </xf>
    <xf numFmtId="0" fontId="27" fillId="0" borderId="0" xfId="0" applyFont="1"/>
    <xf numFmtId="0" fontId="57" fillId="0" borderId="0" xfId="0" applyFont="1"/>
    <xf numFmtId="0" fontId="58" fillId="5" borderId="0" xfId="2" applyFont="1" applyFill="1"/>
    <xf numFmtId="0" fontId="54" fillId="5" borderId="0" xfId="2" applyFont="1" applyFill="1"/>
    <xf numFmtId="0" fontId="58" fillId="5" borderId="0" xfId="2" applyFont="1" applyFill="1" applyAlignment="1">
      <alignment horizontal="center"/>
    </xf>
    <xf numFmtId="49" fontId="32" fillId="0" borderId="0" xfId="0" applyNumberFormat="1" applyFont="1" applyAlignment="1">
      <alignment horizontal="center" vertical="center"/>
    </xf>
    <xf numFmtId="0" fontId="23" fillId="0" borderId="0" xfId="0" applyFont="1"/>
    <xf numFmtId="0" fontId="23" fillId="6" borderId="0" xfId="0" applyFont="1" applyFill="1"/>
    <xf numFmtId="0" fontId="23" fillId="6" borderId="0" xfId="0" applyFont="1" applyFill="1" applyAlignment="1">
      <alignment horizontal="center"/>
    </xf>
    <xf numFmtId="170" fontId="23" fillId="6" borderId="0" xfId="0" applyNumberFormat="1" applyFont="1" applyFill="1"/>
    <xf numFmtId="0" fontId="23" fillId="7" borderId="0" xfId="0" applyFont="1" applyFill="1"/>
    <xf numFmtId="0" fontId="23" fillId="7" borderId="0" xfId="0" applyFont="1" applyFill="1" applyAlignment="1">
      <alignment horizontal="center"/>
    </xf>
    <xf numFmtId="170" fontId="23" fillId="7" borderId="0" xfId="0" applyNumberFormat="1" applyFont="1" applyFill="1"/>
    <xf numFmtId="167" fontId="0" fillId="8" borderId="9" xfId="0" applyNumberFormat="1" applyFill="1" applyBorder="1" applyAlignment="1">
      <alignment horizontal="left" vertical="center" wrapText="1"/>
    </xf>
    <xf numFmtId="167" fontId="0" fillId="8" borderId="12" xfId="0" applyNumberFormat="1" applyFill="1" applyBorder="1" applyAlignment="1">
      <alignment horizontal="left" vertical="center" wrapText="1"/>
    </xf>
    <xf numFmtId="167" fontId="0" fillId="8" borderId="10" xfId="0" applyNumberFormat="1" applyFill="1" applyBorder="1" applyAlignment="1">
      <alignment horizontal="left" vertical="center" wrapText="1"/>
    </xf>
    <xf numFmtId="167" fontId="0" fillId="8" borderId="11" xfId="0" applyNumberFormat="1" applyFill="1" applyBorder="1" applyAlignment="1">
      <alignment horizontal="left" vertical="center" wrapText="1"/>
    </xf>
    <xf numFmtId="167" fontId="0" fillId="8" borderId="13" xfId="0" applyNumberFormat="1" applyFill="1" applyBorder="1" applyAlignment="1">
      <alignment horizontal="left" vertical="center" wrapText="1"/>
    </xf>
    <xf numFmtId="167" fontId="0" fillId="8" borderId="0" xfId="0" applyNumberFormat="1" applyFill="1" applyAlignment="1">
      <alignment horizontal="left" vertical="center" wrapText="1"/>
    </xf>
    <xf numFmtId="0" fontId="0" fillId="8" borderId="17" xfId="0" applyFill="1" applyBorder="1" applyAlignment="1">
      <alignment vertical="center"/>
    </xf>
    <xf numFmtId="0" fontId="27" fillId="8" borderId="0" xfId="0" applyFont="1" applyFill="1" applyAlignment="1">
      <alignment horizontal="right" vertical="center" wrapText="1"/>
    </xf>
    <xf numFmtId="0" fontId="0" fillId="8" borderId="18" xfId="0" applyFill="1" applyBorder="1" applyAlignment="1">
      <alignment vertical="center"/>
    </xf>
    <xf numFmtId="0" fontId="0" fillId="8" borderId="19" xfId="0" applyFill="1" applyBorder="1" applyAlignment="1">
      <alignment vertical="center"/>
    </xf>
    <xf numFmtId="0" fontId="27" fillId="8" borderId="18" xfId="0" applyFont="1" applyFill="1" applyBorder="1" applyAlignment="1">
      <alignment horizontal="right" vertical="center" wrapText="1"/>
    </xf>
    <xf numFmtId="167" fontId="39" fillId="8" borderId="0" xfId="0" applyNumberFormat="1" applyFont="1" applyFill="1" applyAlignment="1">
      <alignment horizontal="left" vertical="center" wrapText="1"/>
    </xf>
    <xf numFmtId="0" fontId="27" fillId="8" borderId="0" xfId="0" applyFont="1" applyFill="1"/>
    <xf numFmtId="0" fontId="27" fillId="8" borderId="13" xfId="0" applyFont="1" applyFill="1" applyBorder="1"/>
    <xf numFmtId="0" fontId="27" fillId="8" borderId="18" xfId="0" applyFont="1" applyFill="1" applyBorder="1"/>
    <xf numFmtId="0" fontId="27" fillId="8" borderId="19" xfId="0" applyFont="1" applyFill="1" applyBorder="1"/>
    <xf numFmtId="0" fontId="60" fillId="0" borderId="0" xfId="3" applyFont="1"/>
    <xf numFmtId="0" fontId="9" fillId="0" borderId="0" xfId="0" applyFont="1" applyAlignment="1">
      <alignment vertical="center" wrapText="1"/>
    </xf>
    <xf numFmtId="0" fontId="0" fillId="0" borderId="0" xfId="0" applyAlignment="1">
      <alignment vertical="center" wrapText="1"/>
    </xf>
    <xf numFmtId="0" fontId="15"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167" fontId="15" fillId="0" borderId="0" xfId="0" applyNumberFormat="1" applyFont="1" applyAlignment="1" applyProtection="1">
      <alignment horizontal="left" vertical="center" wrapText="1"/>
      <protection locked="0"/>
    </xf>
    <xf numFmtId="167" fontId="11" fillId="0" borderId="0" xfId="0" applyNumberFormat="1" applyFont="1" applyAlignment="1" applyProtection="1">
      <alignment horizontal="left" wrapText="1"/>
      <protection locked="0"/>
    </xf>
    <xf numFmtId="0" fontId="0" fillId="8" borderId="0" xfId="0" applyFill="1" applyAlignment="1">
      <alignment vertical="center"/>
    </xf>
    <xf numFmtId="0" fontId="27" fillId="0" borderId="0" xfId="0" applyFont="1" applyAlignment="1">
      <alignment horizontal="right"/>
    </xf>
    <xf numFmtId="0" fontId="52" fillId="0" borderId="10" xfId="0" applyFont="1" applyBorder="1" applyAlignment="1">
      <alignment horizontal="left"/>
    </xf>
    <xf numFmtId="0" fontId="34" fillId="3" borderId="0" xfId="0" applyFont="1" applyFill="1" applyAlignment="1">
      <alignment vertical="center"/>
    </xf>
    <xf numFmtId="0" fontId="46" fillId="0" borderId="13" xfId="0" applyFont="1" applyBorder="1"/>
    <xf numFmtId="0" fontId="0" fillId="0" borderId="0" xfId="0" applyAlignment="1">
      <alignment horizontal="left" vertical="center" wrapText="1"/>
    </xf>
    <xf numFmtId="0" fontId="61" fillId="0" borderId="0" xfId="1" applyFont="1" applyBorder="1" applyAlignment="1">
      <alignment horizontal="left" vertical="center"/>
    </xf>
    <xf numFmtId="0" fontId="0" fillId="11" borderId="0" xfId="0" applyFill="1"/>
    <xf numFmtId="0" fontId="27" fillId="11" borderId="0" xfId="0" applyFont="1" applyFill="1"/>
    <xf numFmtId="0" fontId="27" fillId="11" borderId="0" xfId="0" applyFont="1" applyFill="1" applyAlignment="1">
      <alignment vertical="center"/>
    </xf>
    <xf numFmtId="170" fontId="27" fillId="0" borderId="0" xfId="0" applyNumberFormat="1" applyFont="1"/>
    <xf numFmtId="0" fontId="64" fillId="11" borderId="0" xfId="0" applyFont="1" applyFill="1" applyAlignment="1">
      <alignment horizontal="center" wrapText="1"/>
    </xf>
    <xf numFmtId="0" fontId="27" fillId="11" borderId="0" xfId="0" applyFont="1" applyFill="1" applyAlignment="1">
      <alignment horizontal="right" vertical="center" wrapText="1"/>
    </xf>
    <xf numFmtId="0" fontId="0" fillId="11" borderId="0" xfId="0" applyFill="1" applyAlignment="1">
      <alignment horizontal="right" vertical="center" wrapText="1"/>
    </xf>
    <xf numFmtId="168" fontId="39" fillId="11" borderId="0" xfId="0" applyNumberFormat="1" applyFont="1" applyFill="1" applyAlignment="1">
      <alignment horizontal="left" vertical="center" wrapText="1"/>
    </xf>
    <xf numFmtId="168" fontId="0" fillId="11" borderId="0" xfId="0" applyNumberFormat="1" applyFill="1" applyAlignment="1">
      <alignment horizontal="left" vertical="center" wrapText="1"/>
    </xf>
    <xf numFmtId="0" fontId="27" fillId="12" borderId="0" xfId="0" applyFont="1" applyFill="1"/>
    <xf numFmtId="0" fontId="27" fillId="12" borderId="0" xfId="0" applyFont="1" applyFill="1" applyAlignment="1">
      <alignment horizontal="left" vertical="center" wrapText="1"/>
    </xf>
    <xf numFmtId="0" fontId="0" fillId="11" borderId="9" xfId="0" applyFill="1" applyBorder="1"/>
    <xf numFmtId="0" fontId="0" fillId="11" borderId="10" xfId="0" applyFill="1" applyBorder="1"/>
    <xf numFmtId="0" fontId="0" fillId="11" borderId="11" xfId="0" applyFill="1" applyBorder="1"/>
    <xf numFmtId="0" fontId="27" fillId="11" borderId="13" xfId="0" applyFont="1" applyFill="1" applyBorder="1"/>
    <xf numFmtId="0" fontId="0" fillId="11" borderId="13" xfId="0" applyFill="1" applyBorder="1" applyAlignment="1">
      <alignment wrapText="1"/>
    </xf>
    <xf numFmtId="0" fontId="61" fillId="11" borderId="13" xfId="1" applyFont="1" applyFill="1" applyBorder="1" applyAlignment="1">
      <alignment horizontal="left" vertical="center"/>
    </xf>
    <xf numFmtId="0" fontId="0" fillId="11" borderId="13" xfId="0" applyFill="1" applyBorder="1" applyAlignment="1">
      <alignment horizontal="left" vertical="center" wrapText="1"/>
    </xf>
    <xf numFmtId="0" fontId="27" fillId="11" borderId="12" xfId="0" applyFont="1" applyFill="1" applyBorder="1"/>
    <xf numFmtId="0" fontId="27" fillId="12" borderId="12" xfId="0" applyFont="1" applyFill="1" applyBorder="1"/>
    <xf numFmtId="0" fontId="27" fillId="12" borderId="13" xfId="0" applyFont="1" applyFill="1" applyBorder="1"/>
    <xf numFmtId="0" fontId="0" fillId="0" borderId="0" xfId="0" applyAlignment="1">
      <alignment wrapText="1"/>
    </xf>
    <xf numFmtId="0" fontId="78" fillId="0" borderId="0" xfId="0" applyFont="1" applyAlignment="1">
      <alignment vertical="center"/>
    </xf>
    <xf numFmtId="0" fontId="32" fillId="0" borderId="9" xfId="0" applyFont="1" applyBorder="1"/>
    <xf numFmtId="167" fontId="0" fillId="0" borderId="0" xfId="0" applyNumberFormat="1" applyAlignment="1">
      <alignment horizontal="left" vertical="center" wrapText="1"/>
    </xf>
    <xf numFmtId="0" fontId="45" fillId="0" borderId="0" xfId="0" applyFont="1" applyAlignment="1">
      <alignment horizontal="left" vertical="center" wrapText="1"/>
    </xf>
    <xf numFmtId="0" fontId="42" fillId="0" borderId="0" xfId="0" applyFont="1" applyAlignment="1">
      <alignment horizontal="left" vertical="top" wrapText="1"/>
    </xf>
    <xf numFmtId="0" fontId="44" fillId="0" borderId="0" xfId="0" applyFont="1" applyAlignment="1">
      <alignment horizontal="left" vertical="center" wrapText="1"/>
    </xf>
    <xf numFmtId="0" fontId="27" fillId="0" borderId="0" xfId="0" applyFont="1" applyAlignment="1">
      <alignment horizontal="right" vertical="center"/>
    </xf>
    <xf numFmtId="0" fontId="27" fillId="0" borderId="0" xfId="0" applyFont="1" applyAlignment="1">
      <alignment horizontal="right" vertical="center" wrapText="1"/>
    </xf>
    <xf numFmtId="167" fontId="34" fillId="0" borderId="0" xfId="0" applyNumberFormat="1" applyFont="1" applyAlignment="1">
      <alignment horizontal="left" vertical="center" wrapText="1"/>
    </xf>
    <xf numFmtId="0" fontId="69" fillId="0" borderId="0" xfId="0" applyFont="1" applyAlignment="1">
      <alignment horizontal="left" vertical="center" wrapText="1"/>
    </xf>
    <xf numFmtId="0" fontId="61" fillId="0" borderId="0" xfId="1" applyFont="1" applyFill="1" applyBorder="1" applyAlignment="1">
      <alignment horizontal="left" vertical="center"/>
    </xf>
    <xf numFmtId="0" fontId="23" fillId="8" borderId="0" xfId="0" applyFont="1" applyFill="1"/>
    <xf numFmtId="0" fontId="23" fillId="4" borderId="20" xfId="0" applyFont="1" applyFill="1" applyBorder="1"/>
    <xf numFmtId="0" fontId="23" fillId="4" borderId="21" xfId="0" applyFont="1" applyFill="1" applyBorder="1"/>
    <xf numFmtId="0" fontId="23" fillId="4" borderId="22" xfId="0" applyFont="1" applyFill="1" applyBorder="1"/>
    <xf numFmtId="0" fontId="23" fillId="4" borderId="23" xfId="0" applyFont="1" applyFill="1" applyBorder="1"/>
    <xf numFmtId="0" fontId="23" fillId="4" borderId="25" xfId="0" applyFont="1" applyFill="1" applyBorder="1"/>
    <xf numFmtId="0" fontId="23" fillId="4" borderId="26" xfId="0" applyFont="1" applyFill="1" applyBorder="1"/>
    <xf numFmtId="0" fontId="23" fillId="4" borderId="27" xfId="0" applyFont="1" applyFill="1" applyBorder="1"/>
    <xf numFmtId="0" fontId="23" fillId="4" borderId="24" xfId="0" applyFont="1" applyFill="1" applyBorder="1"/>
    <xf numFmtId="0" fontId="23" fillId="14" borderId="0" xfId="0" applyFont="1" applyFill="1"/>
    <xf numFmtId="0" fontId="67" fillId="14" borderId="0" xfId="0" applyFont="1" applyFill="1" applyAlignment="1">
      <alignment horizontal="center" vertical="center"/>
    </xf>
    <xf numFmtId="0" fontId="24" fillId="8" borderId="0" xfId="0" applyFont="1" applyFill="1" applyAlignment="1">
      <alignment vertical="center"/>
    </xf>
    <xf numFmtId="0" fontId="23" fillId="0" borderId="0" xfId="0" applyFont="1" applyAlignment="1" applyProtection="1">
      <alignment wrapText="1"/>
      <protection locked="0"/>
    </xf>
    <xf numFmtId="0" fontId="23" fillId="0" borderId="0" xfId="0" applyFont="1" applyAlignment="1">
      <alignment wrapText="1"/>
    </xf>
    <xf numFmtId="0" fontId="26" fillId="0" borderId="0" xfId="0" applyFont="1"/>
    <xf numFmtId="0" fontId="69" fillId="0" borderId="0" xfId="0" applyFont="1" applyProtection="1">
      <protection locked="0"/>
    </xf>
    <xf numFmtId="0" fontId="33" fillId="0" borderId="0" xfId="0" applyFont="1"/>
    <xf numFmtId="0" fontId="23" fillId="0" borderId="0" xfId="0" applyFont="1" applyAlignment="1">
      <alignment horizontal="left" vertical="center"/>
    </xf>
    <xf numFmtId="0" fontId="24" fillId="0" borderId="0" xfId="0" applyFont="1"/>
    <xf numFmtId="0" fontId="23" fillId="0" borderId="0" xfId="0" quotePrefix="1" applyFont="1" applyAlignment="1">
      <alignment vertical="center"/>
    </xf>
    <xf numFmtId="0" fontId="23" fillId="0" borderId="0" xfId="0" applyFont="1" applyAlignment="1">
      <alignment horizontal="left" indent="1"/>
    </xf>
    <xf numFmtId="0" fontId="23" fillId="0" borderId="0" xfId="0" applyFont="1" applyAlignment="1">
      <alignment horizontal="left" indent="2"/>
    </xf>
    <xf numFmtId="0" fontId="23" fillId="3" borderId="5" xfId="0" applyFont="1" applyFill="1" applyBorder="1" applyAlignment="1">
      <alignment horizontal="left" indent="1"/>
    </xf>
    <xf numFmtId="0" fontId="23" fillId="13" borderId="5" xfId="0" applyFont="1" applyFill="1" applyBorder="1" applyAlignment="1">
      <alignment horizontal="left" indent="1"/>
    </xf>
    <xf numFmtId="0" fontId="84" fillId="0" borderId="0" xfId="0" applyFont="1" applyAlignment="1">
      <alignment horizontal="left" indent="1"/>
    </xf>
    <xf numFmtId="0" fontId="84" fillId="15" borderId="0" xfId="0" applyFont="1" applyFill="1" applyAlignment="1">
      <alignment horizontal="left" indent="1"/>
    </xf>
    <xf numFmtId="0" fontId="24" fillId="8" borderId="0" xfId="0" applyFont="1" applyFill="1"/>
    <xf numFmtId="168" fontId="0" fillId="0" borderId="0" xfId="0" applyNumberFormat="1" applyAlignment="1">
      <alignment horizontal="left" vertical="center" wrapText="1"/>
    </xf>
    <xf numFmtId="0" fontId="32" fillId="0" borderId="0" xfId="0" applyFont="1" applyAlignment="1">
      <alignment horizontal="center"/>
    </xf>
    <xf numFmtId="0" fontId="0" fillId="0" borderId="0" xfId="0" applyAlignment="1">
      <alignment vertical="center"/>
    </xf>
    <xf numFmtId="0" fontId="0" fillId="8" borderId="12" xfId="0" applyFill="1" applyBorder="1" applyAlignment="1">
      <alignment vertical="center"/>
    </xf>
    <xf numFmtId="0" fontId="0" fillId="8" borderId="13" xfId="0" applyFill="1" applyBorder="1" applyAlignment="1">
      <alignment vertical="center"/>
    </xf>
    <xf numFmtId="167" fontId="39" fillId="8" borderId="18" xfId="0" applyNumberFormat="1" applyFont="1" applyFill="1" applyBorder="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left" vertical="top" wrapText="1"/>
    </xf>
    <xf numFmtId="0" fontId="87" fillId="8" borderId="12" xfId="0" applyFont="1" applyFill="1" applyBorder="1" applyAlignment="1">
      <alignment vertical="center"/>
    </xf>
    <xf numFmtId="0" fontId="87" fillId="0" borderId="0" xfId="0" applyFont="1" applyAlignment="1">
      <alignment vertical="center"/>
    </xf>
    <xf numFmtId="0" fontId="87" fillId="8" borderId="13" xfId="0" applyFont="1" applyFill="1" applyBorder="1" applyAlignment="1">
      <alignment vertical="center"/>
    </xf>
    <xf numFmtId="0" fontId="88" fillId="0" borderId="0" xfId="0" applyFont="1" applyAlignment="1">
      <alignment horizontal="center" vertical="center"/>
    </xf>
    <xf numFmtId="0" fontId="88" fillId="0" borderId="0" xfId="0" applyFont="1" applyAlignment="1">
      <alignment horizontal="left" vertical="top" wrapText="1"/>
    </xf>
    <xf numFmtId="167" fontId="0" fillId="8" borderId="18" xfId="0" applyNumberFormat="1" applyFill="1" applyBorder="1" applyAlignment="1">
      <alignment horizontal="left" vertical="center" wrapText="1"/>
    </xf>
    <xf numFmtId="0" fontId="0" fillId="8" borderId="0" xfId="0" applyFill="1" applyAlignment="1">
      <alignment horizontal="left" vertical="center" wrapText="1"/>
    </xf>
    <xf numFmtId="0" fontId="0" fillId="8" borderId="0" xfId="0" applyFill="1"/>
    <xf numFmtId="0" fontId="0" fillId="8" borderId="0" xfId="0" applyFill="1" applyAlignment="1">
      <alignment wrapText="1"/>
    </xf>
    <xf numFmtId="0" fontId="32" fillId="8" borderId="0" xfId="0" applyFont="1" applyFill="1"/>
    <xf numFmtId="167" fontId="39" fillId="0" borderId="0" xfId="0" applyNumberFormat="1" applyFont="1" applyAlignment="1">
      <alignment horizontal="left" vertical="center" wrapText="1"/>
    </xf>
    <xf numFmtId="0" fontId="37" fillId="0" borderId="0" xfId="0" applyFont="1" applyAlignment="1">
      <alignment horizontal="left" vertical="center" wrapText="1"/>
    </xf>
    <xf numFmtId="0" fontId="39" fillId="0" borderId="0" xfId="0" applyFont="1" applyAlignment="1">
      <alignment horizontal="left" vertical="center" wrapText="1"/>
    </xf>
    <xf numFmtId="0" fontId="34" fillId="8" borderId="0" xfId="0" applyFont="1" applyFill="1"/>
    <xf numFmtId="0" fontId="0" fillId="8" borderId="0" xfId="0" applyFill="1" applyAlignment="1">
      <alignment horizontal="left" wrapText="1"/>
    </xf>
    <xf numFmtId="0" fontId="36" fillId="8" borderId="0" xfId="0" applyFont="1" applyFill="1" applyAlignment="1">
      <alignment vertical="center"/>
    </xf>
    <xf numFmtId="0" fontId="91" fillId="8" borderId="0" xfId="0" applyFont="1" applyFill="1"/>
    <xf numFmtId="0" fontId="88" fillId="8" borderId="0" xfId="0" applyFont="1" applyFill="1"/>
    <xf numFmtId="0" fontId="83" fillId="8" borderId="0" xfId="0" applyFont="1" applyFill="1" applyAlignment="1">
      <alignment vertical="center"/>
    </xf>
    <xf numFmtId="0" fontId="34" fillId="8" borderId="0" xfId="0" applyFont="1" applyFill="1" applyAlignment="1">
      <alignment vertical="center"/>
    </xf>
    <xf numFmtId="0" fontId="79" fillId="8" borderId="0" xfId="0" applyFont="1" applyFill="1" applyAlignment="1">
      <alignment vertical="center"/>
    </xf>
    <xf numFmtId="0" fontId="80" fillId="8" borderId="0" xfId="0" applyFont="1" applyFill="1"/>
    <xf numFmtId="0" fontId="39" fillId="8" borderId="0" xfId="0" applyFont="1" applyFill="1"/>
    <xf numFmtId="0" fontId="36" fillId="0" borderId="0" xfId="0" applyFont="1"/>
    <xf numFmtId="0" fontId="35" fillId="0" borderId="0" xfId="0" applyFont="1" applyAlignment="1">
      <alignment horizontal="right" vertical="center"/>
    </xf>
    <xf numFmtId="0" fontId="0" fillId="0" borderId="0" xfId="0" applyAlignment="1">
      <alignment horizontal="right" wrapText="1"/>
    </xf>
    <xf numFmtId="0" fontId="32" fillId="0" borderId="14" xfId="0" applyFont="1" applyBorder="1"/>
    <xf numFmtId="0" fontId="27" fillId="0" borderId="14" xfId="0" applyFont="1" applyBorder="1" applyAlignment="1">
      <alignment horizontal="left" vertical="top"/>
    </xf>
    <xf numFmtId="0" fontId="63" fillId="0" borderId="14" xfId="0" applyFont="1" applyBorder="1" applyAlignment="1">
      <alignment horizontal="center" vertical="top" wrapText="1"/>
    </xf>
    <xf numFmtId="0" fontId="27" fillId="0" borderId="14" xfId="0" applyFont="1" applyBorder="1" applyAlignment="1">
      <alignment horizontal="left" vertical="top" wrapText="1"/>
    </xf>
    <xf numFmtId="168" fontId="27" fillId="0" borderId="14" xfId="0" applyNumberFormat="1" applyFont="1" applyBorder="1" applyAlignment="1">
      <alignment horizontal="left" vertical="top"/>
    </xf>
    <xf numFmtId="0" fontId="27" fillId="0" borderId="15" xfId="0" applyFont="1" applyBorder="1"/>
    <xf numFmtId="0" fontId="63" fillId="0" borderId="15" xfId="0" applyFont="1" applyBorder="1" applyAlignment="1">
      <alignment horizontal="center" vertical="top" wrapText="1"/>
    </xf>
    <xf numFmtId="0" fontId="27" fillId="0" borderId="15" xfId="0" applyFont="1" applyBorder="1" applyAlignment="1">
      <alignment horizontal="left" vertical="top" wrapText="1"/>
    </xf>
    <xf numFmtId="168" fontId="27" fillId="0" borderId="15" xfId="0" applyNumberFormat="1" applyFont="1" applyBorder="1" applyAlignment="1">
      <alignment horizontal="left" vertical="top"/>
    </xf>
    <xf numFmtId="0" fontId="27" fillId="0" borderId="16" xfId="0" applyFont="1" applyBorder="1"/>
    <xf numFmtId="0" fontId="63" fillId="0" borderId="16" xfId="0" applyFont="1" applyBorder="1" applyAlignment="1">
      <alignment horizontal="center" vertical="top" wrapText="1"/>
    </xf>
    <xf numFmtId="0" fontId="27" fillId="0" borderId="16" xfId="0" applyFont="1" applyBorder="1" applyAlignment="1">
      <alignment horizontal="left" vertical="top" wrapText="1"/>
    </xf>
    <xf numFmtId="168" fontId="27" fillId="0" borderId="16" xfId="0" applyNumberFormat="1" applyFont="1" applyBorder="1" applyAlignment="1">
      <alignment horizontal="left" vertical="top"/>
    </xf>
    <xf numFmtId="0" fontId="27" fillId="0" borderId="14" xfId="0" applyFont="1" applyBorder="1"/>
    <xf numFmtId="0" fontId="63" fillId="0" borderId="0" xfId="0" applyFont="1" applyAlignment="1">
      <alignment horizontal="center" vertical="top" wrapText="1"/>
    </xf>
    <xf numFmtId="168" fontId="27" fillId="0" borderId="0" xfId="0" applyNumberFormat="1" applyFont="1" applyAlignment="1">
      <alignment horizontal="left" vertical="top"/>
    </xf>
    <xf numFmtId="0" fontId="27" fillId="0" borderId="0" xfId="0" applyFont="1" applyAlignment="1">
      <alignment horizontal="left" vertical="top"/>
    </xf>
    <xf numFmtId="0" fontId="24" fillId="0" borderId="0" xfId="0" applyFont="1" applyAlignment="1">
      <alignment vertical="center"/>
    </xf>
    <xf numFmtId="0" fontId="24" fillId="0" borderId="0" xfId="0" applyFont="1" applyAlignment="1">
      <alignment horizontal="center" vertical="center"/>
    </xf>
    <xf numFmtId="49" fontId="89" fillId="0" borderId="0" xfId="0" applyNumberFormat="1" applyFont="1" applyAlignment="1">
      <alignment vertical="top" wrapText="1"/>
    </xf>
    <xf numFmtId="0" fontId="90" fillId="0" borderId="0" xfId="0" applyFont="1" applyAlignment="1">
      <alignment horizontal="left" vertical="top" wrapText="1"/>
    </xf>
    <xf numFmtId="49" fontId="27" fillId="0" borderId="5" xfId="0" applyNumberFormat="1" applyFont="1" applyBorder="1" applyAlignment="1">
      <alignment horizontal="left" vertical="top" wrapText="1"/>
    </xf>
    <xf numFmtId="0" fontId="27" fillId="0" borderId="5" xfId="0" applyFont="1" applyBorder="1" applyAlignment="1">
      <alignment wrapText="1"/>
    </xf>
    <xf numFmtId="0" fontId="39" fillId="0" borderId="14" xfId="0" applyFont="1" applyBorder="1" applyAlignment="1">
      <alignment horizontal="center" vertical="center" wrapText="1"/>
    </xf>
    <xf numFmtId="0" fontId="39" fillId="0" borderId="5" xfId="0" applyFont="1" applyBorder="1" applyAlignment="1">
      <alignment horizontal="center" vertical="center" wrapText="1"/>
    </xf>
    <xf numFmtId="0" fontId="0" fillId="0" borderId="0" xfId="0" applyAlignment="1">
      <alignment horizontal="left" wrapText="1"/>
    </xf>
    <xf numFmtId="49" fontId="70" fillId="0" borderId="6" xfId="0" applyNumberFormat="1" applyFont="1" applyBorder="1" applyAlignment="1">
      <alignment horizontal="right" vertical="top" wrapText="1"/>
    </xf>
    <xf numFmtId="0" fontId="39" fillId="0" borderId="7" xfId="0" applyFont="1" applyBorder="1" applyAlignment="1">
      <alignment horizontal="left" vertical="top" wrapText="1"/>
    </xf>
    <xf numFmtId="0" fontId="0" fillId="0" borderId="0" xfId="0" applyAlignment="1">
      <alignment horizontal="left" vertical="top" wrapText="1"/>
    </xf>
    <xf numFmtId="0" fontId="43" fillId="0" borderId="0" xfId="0" applyFont="1" applyAlignment="1">
      <alignment horizontal="left" vertical="top"/>
    </xf>
    <xf numFmtId="0" fontId="0" fillId="0" borderId="0" xfId="0" applyAlignment="1">
      <alignment horizontal="right" vertical="center"/>
    </xf>
    <xf numFmtId="0" fontId="0" fillId="0" borderId="0" xfId="0" applyAlignment="1">
      <alignment horizontal="right" vertical="center" wrapText="1"/>
    </xf>
    <xf numFmtId="170" fontId="39" fillId="0" borderId="0" xfId="0" applyNumberFormat="1" applyFont="1" applyAlignment="1">
      <alignment horizontal="left" vertical="center" wrapText="1"/>
    </xf>
    <xf numFmtId="0" fontId="39" fillId="0" borderId="14" xfId="0" applyFont="1" applyBorder="1" applyAlignment="1">
      <alignment horizontal="center" vertical="top" wrapText="1"/>
    </xf>
    <xf numFmtId="0" fontId="39" fillId="0" borderId="5" xfId="0" applyFont="1" applyBorder="1" applyAlignment="1">
      <alignment horizontal="center" vertical="top" wrapText="1"/>
    </xf>
    <xf numFmtId="0" fontId="61" fillId="0" borderId="0" xfId="1" applyFont="1" applyFill="1" applyBorder="1" applyAlignment="1">
      <alignment horizontal="left"/>
    </xf>
    <xf numFmtId="0" fontId="27" fillId="12" borderId="0" xfId="0" applyFont="1" applyFill="1" applyAlignment="1">
      <alignment horizontal="right" vertical="center" wrapText="1"/>
    </xf>
    <xf numFmtId="0" fontId="39" fillId="12" borderId="0" xfId="0" applyFont="1" applyFill="1" applyAlignment="1">
      <alignment horizontal="left" vertical="center" wrapText="1"/>
    </xf>
    <xf numFmtId="0" fontId="84" fillId="20" borderId="0" xfId="0" applyFont="1" applyFill="1" applyAlignment="1">
      <alignment horizontal="left" indent="1"/>
    </xf>
    <xf numFmtId="0" fontId="93" fillId="16" borderId="0" xfId="0" applyFont="1" applyFill="1" applyAlignment="1">
      <alignment horizontal="left" vertical="top" wrapText="1"/>
    </xf>
    <xf numFmtId="0" fontId="94" fillId="16" borderId="0" xfId="0" applyFont="1" applyFill="1" applyAlignment="1">
      <alignment horizontal="center" vertical="top" wrapText="1"/>
    </xf>
    <xf numFmtId="0" fontId="96" fillId="17" borderId="0" xfId="0" applyFont="1" applyFill="1" applyAlignment="1">
      <alignment horizontal="left" vertical="top" wrapText="1"/>
    </xf>
    <xf numFmtId="0" fontId="93" fillId="17" borderId="0" xfId="0" applyFont="1" applyFill="1" applyAlignment="1">
      <alignment horizontal="left" vertical="top" wrapText="1"/>
    </xf>
    <xf numFmtId="0" fontId="98" fillId="0" borderId="0" xfId="0" applyFont="1" applyAlignment="1">
      <alignment horizontal="left" vertical="top" wrapText="1"/>
    </xf>
    <xf numFmtId="0" fontId="93" fillId="0" borderId="0" xfId="0" applyFont="1" applyAlignment="1">
      <alignment horizontal="left" vertical="top" wrapText="1"/>
    </xf>
    <xf numFmtId="0" fontId="93" fillId="18" borderId="0" xfId="0" applyFont="1" applyFill="1" applyAlignment="1">
      <alignment horizontal="left" vertical="top" wrapText="1"/>
    </xf>
    <xf numFmtId="0" fontId="94" fillId="18" borderId="0" xfId="0" applyFont="1" applyFill="1" applyAlignment="1">
      <alignment horizontal="center" vertical="top" wrapText="1"/>
    </xf>
    <xf numFmtId="0" fontId="96" fillId="19" borderId="0" xfId="0" applyFont="1" applyFill="1" applyAlignment="1">
      <alignment horizontal="left" vertical="top" wrapText="1"/>
    </xf>
    <xf numFmtId="0" fontId="93" fillId="19" borderId="0" xfId="0" applyFont="1" applyFill="1" applyAlignment="1">
      <alignment horizontal="left" vertical="top" wrapText="1"/>
    </xf>
    <xf numFmtId="0" fontId="98" fillId="16" borderId="0" xfId="0" applyFont="1" applyFill="1" applyAlignment="1">
      <alignment horizontal="left" vertical="top" wrapText="1"/>
    </xf>
    <xf numFmtId="0" fontId="100" fillId="0" borderId="0" xfId="0" applyFont="1"/>
    <xf numFmtId="49" fontId="93" fillId="16" borderId="0" xfId="0" applyNumberFormat="1" applyFont="1" applyFill="1" applyAlignment="1">
      <alignment horizontal="center" vertical="top" wrapText="1"/>
    </xf>
    <xf numFmtId="49" fontId="95" fillId="17" borderId="0" xfId="0" applyNumberFormat="1" applyFont="1" applyFill="1" applyAlignment="1">
      <alignment horizontal="center" vertical="top" wrapText="1"/>
    </xf>
    <xf numFmtId="49" fontId="97" fillId="0" borderId="0" xfId="0" applyNumberFormat="1" applyFont="1" applyAlignment="1">
      <alignment horizontal="center" vertical="top" wrapText="1"/>
    </xf>
    <xf numFmtId="49" fontId="93" fillId="18" borderId="0" xfId="0" applyNumberFormat="1" applyFont="1" applyFill="1" applyAlignment="1">
      <alignment horizontal="center" vertical="top" wrapText="1"/>
    </xf>
    <xf numFmtId="49" fontId="99" fillId="19" borderId="0" xfId="0" applyNumberFormat="1" applyFont="1" applyFill="1" applyAlignment="1">
      <alignment horizontal="center" vertical="top" wrapText="1"/>
    </xf>
    <xf numFmtId="49" fontId="101" fillId="16" borderId="0" xfId="0" applyNumberFormat="1" applyFont="1" applyFill="1" applyAlignment="1">
      <alignment horizontal="center" vertical="top" wrapText="1"/>
    </xf>
    <xf numFmtId="49" fontId="89" fillId="0" borderId="0" xfId="0" applyNumberFormat="1" applyFont="1" applyAlignment="1">
      <alignment horizontal="center" vertical="top" wrapText="1"/>
    </xf>
    <xf numFmtId="0" fontId="2" fillId="0" borderId="28" xfId="0" applyFont="1" applyBorder="1"/>
    <xf numFmtId="0" fontId="62" fillId="0" borderId="0" xfId="0" quotePrefix="1" applyFont="1" applyAlignment="1">
      <alignment horizontal="right" vertical="center"/>
    </xf>
    <xf numFmtId="0" fontId="32" fillId="0" borderId="0" xfId="0" applyFont="1" applyAlignment="1">
      <alignment horizontal="left" wrapText="1"/>
    </xf>
    <xf numFmtId="0" fontId="102" fillId="0" borderId="0" xfId="0" quotePrefix="1" applyFont="1" applyAlignment="1">
      <alignment horizontal="center" vertical="center"/>
    </xf>
    <xf numFmtId="0" fontId="32" fillId="0" borderId="0" xfId="0" applyFont="1" applyAlignment="1">
      <alignment horizontal="right" vertical="center"/>
    </xf>
    <xf numFmtId="0" fontId="27" fillId="0" borderId="0" xfId="0" applyFont="1" applyAlignment="1">
      <alignment wrapText="1"/>
    </xf>
    <xf numFmtId="0" fontId="62" fillId="0" borderId="0" xfId="0" applyFont="1" applyAlignment="1">
      <alignment horizontal="center" vertical="center" wrapText="1"/>
    </xf>
    <xf numFmtId="0" fontId="54" fillId="0" borderId="0" xfId="4"/>
    <xf numFmtId="1" fontId="76" fillId="0" borderId="0" xfId="4" applyNumberFormat="1" applyFont="1" applyAlignment="1">
      <alignment horizontal="right"/>
    </xf>
    <xf numFmtId="0" fontId="104" fillId="0" borderId="9" xfId="0" applyFont="1" applyBorder="1" applyAlignment="1" applyProtection="1">
      <alignment horizontal="left" vertical="center" wrapText="1"/>
      <protection locked="0"/>
    </xf>
    <xf numFmtId="0" fontId="104" fillId="0" borderId="12" xfId="0" applyFont="1" applyBorder="1" applyAlignment="1" applyProtection="1">
      <alignment horizontal="left" vertical="center" wrapText="1"/>
      <protection locked="0"/>
    </xf>
    <xf numFmtId="0" fontId="104" fillId="0" borderId="17" xfId="0" applyFont="1" applyBorder="1" applyAlignment="1" applyProtection="1">
      <alignment horizontal="left" vertical="center" wrapText="1"/>
      <protection locked="0"/>
    </xf>
    <xf numFmtId="0" fontId="104" fillId="0" borderId="12" xfId="0" applyFont="1" applyBorder="1" applyAlignment="1" applyProtection="1">
      <alignment horizontal="right" vertical="center" wrapText="1"/>
      <protection locked="0"/>
    </xf>
    <xf numFmtId="0" fontId="98" fillId="21" borderId="0" xfId="0" applyFont="1" applyFill="1" applyAlignment="1">
      <alignment horizontal="left" vertical="top" wrapText="1"/>
    </xf>
    <xf numFmtId="0" fontId="93" fillId="21" borderId="0" xfId="0" applyFont="1" applyFill="1" applyAlignment="1">
      <alignment horizontal="left" vertical="top" wrapText="1"/>
    </xf>
    <xf numFmtId="49" fontId="105" fillId="21" borderId="0" xfId="0" applyNumberFormat="1" applyFont="1" applyFill="1" applyAlignment="1">
      <alignment horizontal="center" vertical="top" wrapText="1"/>
    </xf>
    <xf numFmtId="0" fontId="98" fillId="22" borderId="0" xfId="0" applyFont="1" applyFill="1" applyAlignment="1">
      <alignment horizontal="left" vertical="top" wrapText="1"/>
    </xf>
    <xf numFmtId="0" fontId="93" fillId="22" borderId="0" xfId="0" applyFont="1" applyFill="1" applyAlignment="1">
      <alignment horizontal="left" vertical="top" wrapText="1"/>
    </xf>
    <xf numFmtId="49" fontId="105" fillId="22" borderId="0" xfId="0" applyNumberFormat="1" applyFont="1" applyFill="1" applyAlignment="1">
      <alignment horizontal="center" vertical="top" wrapText="1"/>
    </xf>
    <xf numFmtId="0" fontId="0" fillId="11" borderId="0" xfId="0" applyFill="1" applyAlignment="1">
      <alignment wrapText="1"/>
    </xf>
    <xf numFmtId="0" fontId="0" fillId="12" borderId="0" xfId="0" applyFill="1" applyAlignment="1">
      <alignment horizontal="right" vertical="center" wrapText="1"/>
    </xf>
    <xf numFmtId="168" fontId="39" fillId="12" borderId="0" xfId="0" applyNumberFormat="1" applyFont="1" applyFill="1" applyAlignment="1">
      <alignment horizontal="left" vertical="center" wrapText="1"/>
    </xf>
    <xf numFmtId="168" fontId="0" fillId="12" borderId="0" xfId="0" applyNumberFormat="1" applyFill="1" applyAlignment="1">
      <alignment horizontal="left" vertical="center" wrapText="1"/>
    </xf>
    <xf numFmtId="0" fontId="0" fillId="11" borderId="0" xfId="0" applyFill="1" applyAlignment="1">
      <alignment vertical="center"/>
    </xf>
    <xf numFmtId="0" fontId="61" fillId="12" borderId="13" xfId="1" applyFont="1" applyFill="1" applyBorder="1" applyAlignment="1">
      <alignment horizontal="left" vertical="center"/>
    </xf>
    <xf numFmtId="49" fontId="32" fillId="11" borderId="0" xfId="0" applyNumberFormat="1" applyFont="1" applyFill="1" applyAlignment="1">
      <alignment horizontal="center" vertical="center"/>
    </xf>
    <xf numFmtId="0" fontId="27" fillId="11" borderId="0" xfId="0" applyFont="1" applyFill="1" applyAlignment="1">
      <alignment vertical="center" wrapText="1"/>
    </xf>
    <xf numFmtId="0" fontId="62" fillId="11" borderId="0" xfId="0" applyFont="1" applyFill="1" applyAlignment="1">
      <alignment horizontal="center" vertical="center" wrapText="1"/>
    </xf>
    <xf numFmtId="0" fontId="27" fillId="11" borderId="0" xfId="0" applyFont="1" applyFill="1" applyAlignment="1">
      <alignment horizontal="left" vertical="center" indent="2"/>
    </xf>
    <xf numFmtId="0" fontId="0" fillId="11" borderId="12" xfId="0" applyFill="1" applyBorder="1"/>
    <xf numFmtId="0" fontId="0" fillId="11" borderId="17" xfId="0" applyFill="1" applyBorder="1"/>
    <xf numFmtId="0" fontId="39" fillId="0" borderId="0" xfId="1" applyFont="1" applyFill="1" applyBorder="1" applyAlignment="1">
      <alignment horizontal="left" vertical="center"/>
    </xf>
    <xf numFmtId="0" fontId="107" fillId="0" borderId="0" xfId="0" applyFont="1" applyAlignment="1">
      <alignment horizontal="right"/>
    </xf>
    <xf numFmtId="0" fontId="56" fillId="0" borderId="0" xfId="0" applyFont="1"/>
    <xf numFmtId="0" fontId="23" fillId="0" borderId="0" xfId="0" applyFont="1" applyAlignment="1">
      <alignment horizontal="left" indent="4"/>
    </xf>
    <xf numFmtId="0" fontId="94" fillId="21" borderId="0" xfId="0" applyFont="1" applyFill="1" applyAlignment="1">
      <alignment horizontal="center" vertical="top" wrapText="1"/>
    </xf>
    <xf numFmtId="0" fontId="102" fillId="0" borderId="0" xfId="0" applyFont="1" applyAlignment="1">
      <alignment horizontal="center"/>
    </xf>
    <xf numFmtId="0" fontId="94" fillId="22" borderId="0" xfId="0" applyFont="1" applyFill="1" applyAlignment="1">
      <alignment horizontal="center" vertical="top" wrapText="1"/>
    </xf>
    <xf numFmtId="0" fontId="0" fillId="0" borderId="0" xfId="0" applyAlignment="1">
      <alignment horizontal="center" vertical="center"/>
    </xf>
    <xf numFmtId="0" fontId="27" fillId="0" borderId="0" xfId="0" applyFont="1" applyAlignment="1">
      <alignment horizontal="left" vertical="center" wrapText="1"/>
    </xf>
    <xf numFmtId="0" fontId="62" fillId="0" borderId="0" xfId="0" applyFont="1" applyAlignment="1">
      <alignment horizontal="left" vertical="center" wrapText="1"/>
    </xf>
    <xf numFmtId="0" fontId="23" fillId="23" borderId="0" xfId="0" applyFont="1" applyFill="1" applyAlignment="1">
      <alignment horizontal="left" indent="1"/>
    </xf>
    <xf numFmtId="0" fontId="24" fillId="8" borderId="0" xfId="0" applyFont="1" applyFill="1" applyAlignment="1">
      <alignment horizontal="right" vertical="center"/>
    </xf>
    <xf numFmtId="0" fontId="23" fillId="8" borderId="0" xfId="0" applyFont="1" applyFill="1" applyAlignment="1">
      <alignment horizontal="left" vertical="center"/>
    </xf>
    <xf numFmtId="0" fontId="112" fillId="8" borderId="0" xfId="0" applyFont="1" applyFill="1"/>
    <xf numFmtId="0" fontId="39" fillId="0" borderId="0" xfId="0" applyFont="1" applyAlignment="1">
      <alignment horizontal="left" vertical="center"/>
    </xf>
    <xf numFmtId="0" fontId="39" fillId="0" borderId="0" xfId="0" applyFont="1" applyAlignment="1">
      <alignment horizontal="center" vertical="center"/>
    </xf>
    <xf numFmtId="0" fontId="60" fillId="0" borderId="0" xfId="0" applyFont="1"/>
    <xf numFmtId="0" fontId="113" fillId="0" borderId="0" xfId="1" applyFont="1" applyAlignment="1"/>
    <xf numFmtId="0" fontId="23" fillId="0" borderId="0" xfId="0" applyFont="1" applyAlignment="1">
      <alignment horizontal="right" vertical="center" wrapText="1"/>
    </xf>
    <xf numFmtId="0" fontId="56" fillId="0" borderId="0" xfId="5" applyFont="1" applyAlignment="1">
      <alignment horizontal="left"/>
    </xf>
    <xf numFmtId="0" fontId="56" fillId="0" borderId="0" xfId="5" applyFont="1" applyAlignment="1">
      <alignment horizontal="center"/>
    </xf>
    <xf numFmtId="0" fontId="54" fillId="0" borderId="0" xfId="5"/>
    <xf numFmtId="0" fontId="58" fillId="0" borderId="0" xfId="5" applyFont="1" applyAlignment="1">
      <alignment horizontal="left"/>
    </xf>
    <xf numFmtId="0" fontId="58" fillId="0" borderId="0" xfId="5" applyFont="1" applyAlignment="1">
      <alignment horizontal="center"/>
    </xf>
    <xf numFmtId="0" fontId="75" fillId="0" borderId="0" xfId="5" applyFont="1" applyAlignment="1">
      <alignment horizontal="center"/>
    </xf>
    <xf numFmtId="0" fontId="54" fillId="0" borderId="0" xfId="5" applyAlignment="1">
      <alignment horizontal="left"/>
    </xf>
    <xf numFmtId="0" fontId="54" fillId="0" borderId="0" xfId="5" applyAlignment="1">
      <alignment horizontal="center"/>
    </xf>
    <xf numFmtId="2" fontId="54" fillId="0" borderId="0" xfId="5" applyNumberFormat="1" applyAlignment="1">
      <alignment horizontal="center"/>
    </xf>
    <xf numFmtId="0" fontId="58" fillId="0" borderId="0" xfId="5" applyFont="1"/>
    <xf numFmtId="2" fontId="54" fillId="0" borderId="0" xfId="5" applyNumberFormat="1"/>
    <xf numFmtId="169" fontId="54" fillId="0" borderId="0" xfId="5" applyNumberFormat="1"/>
    <xf numFmtId="171" fontId="54" fillId="0" borderId="0" xfId="5" applyNumberFormat="1" applyAlignment="1">
      <alignment horizontal="center"/>
    </xf>
    <xf numFmtId="165" fontId="60" fillId="0" borderId="0" xfId="5" applyNumberFormat="1" applyFont="1"/>
    <xf numFmtId="0" fontId="60" fillId="0" borderId="0" xfId="5" applyFont="1"/>
    <xf numFmtId="165" fontId="54" fillId="0" borderId="0" xfId="5" applyNumberFormat="1"/>
    <xf numFmtId="0" fontId="61" fillId="0" borderId="0" xfId="1" applyFont="1"/>
    <xf numFmtId="0" fontId="46" fillId="8" borderId="0" xfId="0" applyFont="1" applyFill="1"/>
    <xf numFmtId="0" fontId="46" fillId="8" borderId="13" xfId="0" applyFont="1" applyFill="1" applyBorder="1"/>
    <xf numFmtId="0" fontId="46" fillId="8" borderId="12" xfId="0" applyFont="1" applyFill="1" applyBorder="1"/>
    <xf numFmtId="0" fontId="46" fillId="8" borderId="0" xfId="0" applyFont="1" applyFill="1" applyAlignment="1">
      <alignment vertical="center"/>
    </xf>
    <xf numFmtId="0" fontId="110" fillId="8" borderId="0" xfId="0" applyFont="1" applyFill="1" applyAlignment="1">
      <alignment vertical="center"/>
    </xf>
    <xf numFmtId="0" fontId="46" fillId="8" borderId="0" xfId="0" applyFont="1" applyFill="1" applyAlignment="1">
      <alignment horizontal="right"/>
    </xf>
    <xf numFmtId="0" fontId="46" fillId="0" borderId="9" xfId="0" applyFont="1" applyBorder="1"/>
    <xf numFmtId="0" fontId="46" fillId="0" borderId="10" xfId="0" applyFont="1" applyBorder="1"/>
    <xf numFmtId="0" fontId="47" fillId="0" borderId="10" xfId="0" applyFont="1" applyBorder="1" applyAlignment="1">
      <alignment horizontal="right"/>
    </xf>
    <xf numFmtId="0" fontId="46" fillId="0" borderId="12" xfId="0" applyFont="1" applyBorder="1"/>
    <xf numFmtId="0" fontId="46" fillId="0" borderId="0" xfId="0" applyFont="1"/>
    <xf numFmtId="0" fontId="46" fillId="0" borderId="18" xfId="0" applyFont="1" applyBorder="1"/>
    <xf numFmtId="0" fontId="47" fillId="0" borderId="9" xfId="0" applyFont="1" applyBorder="1" applyAlignment="1">
      <alignment horizontal="left"/>
    </xf>
    <xf numFmtId="0" fontId="51" fillId="0" borderId="10" xfId="0" applyFont="1" applyBorder="1"/>
    <xf numFmtId="0" fontId="46" fillId="0" borderId="11" xfId="0" applyFont="1" applyBorder="1"/>
    <xf numFmtId="0" fontId="46" fillId="0" borderId="17" xfId="0" applyFont="1" applyBorder="1"/>
    <xf numFmtId="0" fontId="46" fillId="0" borderId="19" xfId="0" applyFont="1" applyBorder="1"/>
    <xf numFmtId="0" fontId="46" fillId="0" borderId="0" xfId="0" quotePrefix="1" applyFont="1"/>
    <xf numFmtId="0" fontId="46" fillId="0" borderId="0" xfId="0" applyFont="1" applyAlignment="1">
      <alignment horizontal="right"/>
    </xf>
    <xf numFmtId="0" fontId="51" fillId="0" borderId="0" xfId="0" applyFont="1"/>
    <xf numFmtId="164" fontId="46" fillId="0" borderId="10" xfId="0" applyNumberFormat="1" applyFont="1" applyBorder="1" applyAlignment="1">
      <alignment horizontal="left" readingOrder="1"/>
    </xf>
    <xf numFmtId="0" fontId="47" fillId="0" borderId="11" xfId="0" applyFont="1" applyBorder="1" applyAlignment="1">
      <alignment horizontal="right"/>
    </xf>
    <xf numFmtId="0" fontId="50" fillId="0" borderId="17" xfId="0" applyFont="1" applyBorder="1"/>
    <xf numFmtId="0" fontId="47" fillId="0" borderId="12" xfId="0" applyFont="1" applyBorder="1"/>
    <xf numFmtId="0" fontId="47" fillId="0" borderId="0" xfId="0" applyFont="1" applyAlignment="1">
      <alignment horizontal="center"/>
    </xf>
    <xf numFmtId="0" fontId="47" fillId="0" borderId="13" xfId="0" applyFont="1" applyBorder="1" applyAlignment="1">
      <alignment horizontal="center"/>
    </xf>
    <xf numFmtId="0" fontId="55" fillId="0" borderId="0" xfId="0" applyFont="1" applyAlignment="1">
      <alignment horizontal="left" wrapText="1"/>
    </xf>
    <xf numFmtId="0" fontId="37" fillId="0" borderId="0" xfId="0" applyFont="1" applyAlignment="1">
      <alignment wrapText="1"/>
    </xf>
    <xf numFmtId="0" fontId="46" fillId="0" borderId="12" xfId="0" applyFont="1" applyBorder="1" applyProtection="1">
      <protection locked="0"/>
    </xf>
    <xf numFmtId="0" fontId="46" fillId="0" borderId="0" xfId="0" applyFont="1" applyProtection="1">
      <protection locked="0"/>
    </xf>
    <xf numFmtId="0" fontId="46" fillId="0" borderId="13" xfId="0" applyFont="1" applyBorder="1" applyProtection="1">
      <protection locked="0"/>
    </xf>
    <xf numFmtId="0" fontId="48" fillId="0" borderId="9" xfId="0" applyFont="1" applyBorder="1"/>
    <xf numFmtId="0" fontId="47" fillId="0" borderId="12" xfId="0" applyFont="1" applyBorder="1" applyAlignment="1">
      <alignment horizontal="left"/>
    </xf>
    <xf numFmtId="0" fontId="49" fillId="0" borderId="0" xfId="0" applyFont="1" applyAlignment="1">
      <alignment horizontal="center" vertical="center"/>
    </xf>
    <xf numFmtId="0" fontId="46" fillId="0" borderId="29" xfId="0" applyFont="1" applyBorder="1" applyAlignment="1">
      <alignment vertical="center"/>
    </xf>
    <xf numFmtId="0" fontId="110" fillId="0" borderId="16" xfId="0" applyFont="1" applyBorder="1" applyAlignment="1">
      <alignment vertical="center"/>
    </xf>
    <xf numFmtId="0" fontId="110" fillId="0" borderId="5" xfId="0" applyFont="1" applyBorder="1" applyAlignment="1">
      <alignment vertical="center"/>
    </xf>
    <xf numFmtId="166" fontId="46" fillId="0" borderId="29" xfId="0" applyNumberFormat="1" applyFont="1" applyBorder="1" applyAlignment="1">
      <alignment vertical="center"/>
    </xf>
    <xf numFmtId="166" fontId="110" fillId="0" borderId="16" xfId="0" applyNumberFormat="1" applyFont="1" applyBorder="1" applyAlignment="1">
      <alignment vertical="center"/>
    </xf>
    <xf numFmtId="0" fontId="17" fillId="8" borderId="0" xfId="1" applyFill="1" applyAlignment="1" applyProtection="1"/>
    <xf numFmtId="0" fontId="17" fillId="0" borderId="37" xfId="1" applyFill="1" applyBorder="1" applyAlignment="1" applyProtection="1"/>
    <xf numFmtId="0" fontId="117" fillId="0" borderId="37" xfId="1" applyFont="1" applyFill="1" applyBorder="1" applyAlignment="1" applyProtection="1"/>
    <xf numFmtId="0" fontId="64" fillId="0" borderId="37" xfId="1" applyFont="1" applyFill="1" applyBorder="1" applyAlignment="1" applyProtection="1"/>
    <xf numFmtId="0" fontId="65" fillId="6" borderId="0" xfId="0" applyFont="1" applyFill="1"/>
    <xf numFmtId="0" fontId="0" fillId="6" borderId="0" xfId="0" applyFill="1" applyAlignment="1">
      <alignment horizontal="left"/>
    </xf>
    <xf numFmtId="0" fontId="23" fillId="7" borderId="0" xfId="0" applyFont="1" applyFill="1" applyAlignment="1">
      <alignment horizontal="left"/>
    </xf>
    <xf numFmtId="0" fontId="47" fillId="0" borderId="0" xfId="0" applyFont="1" applyAlignment="1">
      <alignment horizontal="right"/>
    </xf>
    <xf numFmtId="0" fontId="27" fillId="0" borderId="0" xfId="0" applyFont="1" applyAlignment="1">
      <alignment horizontal="center"/>
    </xf>
    <xf numFmtId="0" fontId="37" fillId="0" borderId="0" xfId="0" applyFont="1"/>
    <xf numFmtId="0" fontId="25" fillId="0" borderId="0" xfId="0" applyFont="1" applyAlignment="1">
      <alignment horizontal="right" vertical="center" wrapText="1"/>
    </xf>
    <xf numFmtId="0" fontId="25" fillId="0" borderId="0" xfId="0" applyFont="1" applyAlignment="1">
      <alignment horizontal="left" vertical="center" wrapText="1"/>
    </xf>
    <xf numFmtId="0" fontId="46" fillId="0" borderId="0" xfId="0" applyFont="1" applyAlignment="1">
      <alignment wrapText="1"/>
    </xf>
    <xf numFmtId="0" fontId="0" fillId="0" borderId="0" xfId="0" applyAlignment="1" applyProtection="1">
      <alignment horizontal="left" vertical="center" wrapText="1"/>
      <protection locked="0"/>
    </xf>
    <xf numFmtId="0" fontId="39" fillId="0" borderId="0" xfId="0" applyFont="1" applyAlignment="1">
      <alignment horizontal="right" vertical="center" wrapText="1"/>
    </xf>
    <xf numFmtId="0" fontId="75" fillId="3" borderId="0" xfId="0" applyFont="1" applyFill="1" applyAlignment="1">
      <alignment horizontal="center" vertical="center"/>
    </xf>
    <xf numFmtId="0" fontId="52" fillId="0" borderId="18" xfId="0" applyFont="1" applyBorder="1" applyAlignment="1">
      <alignment horizontal="left" vertical="center"/>
    </xf>
    <xf numFmtId="0" fontId="45" fillId="0" borderId="18" xfId="0" applyFont="1" applyBorder="1" applyAlignment="1">
      <alignment horizontal="left" vertical="center"/>
    </xf>
    <xf numFmtId="0" fontId="23" fillId="0" borderId="0" xfId="0" quotePrefix="1" applyFont="1"/>
    <xf numFmtId="0" fontId="54" fillId="0" borderId="0" xfId="5" quotePrefix="1"/>
    <xf numFmtId="1" fontId="127" fillId="0" borderId="0" xfId="4" applyNumberFormat="1" applyFont="1" applyAlignment="1">
      <alignment horizontal="right"/>
    </xf>
    <xf numFmtId="0" fontId="60" fillId="0" borderId="0" xfId="5" applyFont="1" applyAlignment="1">
      <alignment horizontal="center"/>
    </xf>
    <xf numFmtId="2" fontId="60" fillId="0" borderId="0" xfId="5" applyNumberFormat="1" applyFont="1"/>
    <xf numFmtId="0" fontId="60" fillId="0" borderId="0" xfId="4" applyFont="1"/>
    <xf numFmtId="164" fontId="54" fillId="5" borderId="0" xfId="8" applyNumberFormat="1" applyFont="1" applyFill="1" applyBorder="1" applyAlignment="1">
      <alignment horizontal="center"/>
    </xf>
    <xf numFmtId="2" fontId="54" fillId="3" borderId="0" xfId="5" applyNumberFormat="1" applyFill="1" applyAlignment="1">
      <alignment horizontal="center"/>
    </xf>
    <xf numFmtId="0" fontId="58" fillId="0" borderId="0" xfId="5" quotePrefix="1" applyFont="1"/>
    <xf numFmtId="2" fontId="60" fillId="0" borderId="0" xfId="5" applyNumberFormat="1" applyFont="1" applyAlignment="1">
      <alignment horizontal="center"/>
    </xf>
    <xf numFmtId="0" fontId="60" fillId="0" borderId="0" xfId="5" quotePrefix="1" applyFont="1"/>
    <xf numFmtId="2" fontId="54" fillId="0" borderId="0" xfId="4" applyNumberFormat="1"/>
    <xf numFmtId="171" fontId="60" fillId="0" borderId="0" xfId="5" applyNumberFormat="1" applyFont="1" applyAlignment="1">
      <alignment horizontal="center"/>
    </xf>
    <xf numFmtId="7" fontId="54" fillId="5" borderId="0" xfId="9" applyNumberFormat="1" applyFont="1" applyFill="1" applyBorder="1" applyAlignment="1">
      <alignment horizontal="center"/>
    </xf>
    <xf numFmtId="0" fontId="54" fillId="0" borderId="0" xfId="3"/>
    <xf numFmtId="0" fontId="79" fillId="8" borderId="0" xfId="0" applyFont="1" applyFill="1"/>
    <xf numFmtId="0" fontId="46" fillId="0" borderId="39" xfId="0" applyFont="1" applyBorder="1" applyAlignment="1">
      <alignment horizontal="right"/>
    </xf>
    <xf numFmtId="0" fontId="46" fillId="0" borderId="37" xfId="0" applyFont="1" applyBorder="1"/>
    <xf numFmtId="0" fontId="46" fillId="0" borderId="41" xfId="0" applyFont="1" applyBorder="1"/>
    <xf numFmtId="0" fontId="46" fillId="0" borderId="38" xfId="0" applyFont="1" applyBorder="1"/>
    <xf numFmtId="0" fontId="46" fillId="0" borderId="40" xfId="0" applyFont="1" applyBorder="1"/>
    <xf numFmtId="0" fontId="25" fillId="0" borderId="0" xfId="0" applyFont="1" applyAlignment="1">
      <alignment horizontal="right"/>
    </xf>
    <xf numFmtId="0" fontId="139" fillId="0" borderId="0" xfId="0" applyFont="1" applyAlignment="1">
      <alignment horizontal="right"/>
    </xf>
    <xf numFmtId="0" fontId="139" fillId="0" borderId="0" xfId="0" applyFont="1"/>
    <xf numFmtId="0" fontId="39" fillId="3" borderId="14" xfId="0" applyFont="1" applyFill="1" applyBorder="1" applyAlignment="1">
      <alignment horizontal="left" vertical="top"/>
    </xf>
    <xf numFmtId="0" fontId="47" fillId="0" borderId="0" xfId="0" applyFont="1" applyAlignment="1">
      <alignment horizontal="left"/>
    </xf>
    <xf numFmtId="0" fontId="111" fillId="0" borderId="0" xfId="0" applyFont="1" applyAlignment="1">
      <alignment wrapText="1"/>
    </xf>
    <xf numFmtId="0" fontId="92" fillId="0" borderId="12" xfId="0" applyFont="1" applyBorder="1" applyAlignment="1">
      <alignment vertical="top"/>
    </xf>
    <xf numFmtId="0" fontId="1" fillId="0" borderId="0" xfId="0" applyFont="1" applyAlignment="1">
      <alignment horizontal="left" vertical="center" wrapText="1"/>
    </xf>
    <xf numFmtId="0" fontId="1" fillId="8" borderId="0" xfId="0" quotePrefix="1" applyFont="1" applyFill="1" applyAlignment="1">
      <alignment vertical="center"/>
    </xf>
    <xf numFmtId="0" fontId="1" fillId="0" borderId="0" xfId="0" applyFont="1"/>
    <xf numFmtId="0" fontId="1" fillId="0" borderId="0" xfId="0" applyFont="1" applyAlignment="1">
      <alignment wrapText="1"/>
    </xf>
    <xf numFmtId="0" fontId="85" fillId="8" borderId="0" xfId="0" applyFont="1" applyFill="1" applyAlignment="1">
      <alignment vertical="top" wrapText="1"/>
    </xf>
    <xf numFmtId="0" fontId="128" fillId="0" borderId="0" xfId="1" applyFont="1" applyBorder="1" applyAlignment="1" applyProtection="1">
      <alignment vertical="center"/>
    </xf>
    <xf numFmtId="0" fontId="18" fillId="0" borderId="0" xfId="0" applyFont="1" applyAlignment="1">
      <alignment vertical="top" wrapText="1"/>
    </xf>
    <xf numFmtId="0" fontId="10" fillId="0" borderId="0" xfId="0" applyFont="1" applyAlignment="1">
      <alignment vertical="top"/>
    </xf>
    <xf numFmtId="0" fontId="130" fillId="0" borderId="0" xfId="0" applyFont="1" applyAlignment="1">
      <alignment horizontal="left" vertical="center" wrapText="1"/>
    </xf>
    <xf numFmtId="0" fontId="4" fillId="2" borderId="1" xfId="0" applyFont="1" applyFill="1" applyBorder="1" applyAlignment="1">
      <alignment horizontal="left" vertical="center" wrapText="1"/>
    </xf>
    <xf numFmtId="0" fontId="0" fillId="0" borderId="1" xfId="0" applyBorder="1" applyAlignment="1">
      <alignment wrapText="1"/>
    </xf>
    <xf numFmtId="0" fontId="9" fillId="0" borderId="1" xfId="0" applyFont="1" applyBorder="1" applyAlignment="1">
      <alignment vertical="center" wrapText="1"/>
    </xf>
    <xf numFmtId="0" fontId="10" fillId="0" borderId="1" xfId="0" applyFont="1" applyBorder="1" applyAlignment="1">
      <alignment wrapText="1"/>
    </xf>
    <xf numFmtId="0" fontId="10" fillId="0" borderId="2" xfId="0" applyFont="1" applyBorder="1" applyAlignment="1">
      <alignment wrapText="1"/>
    </xf>
    <xf numFmtId="0" fontId="15" fillId="0" borderId="3" xfId="0" applyFont="1" applyBorder="1" applyAlignment="1" applyProtection="1">
      <alignment vertical="center" wrapText="1"/>
      <protection locked="0"/>
    </xf>
    <xf numFmtId="0" fontId="11" fillId="0" borderId="3"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5" fillId="0" borderId="4"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13" fillId="0" borderId="0" xfId="0" applyFont="1" applyAlignment="1">
      <alignment vertical="center" wrapText="1"/>
    </xf>
    <xf numFmtId="0" fontId="9" fillId="0" borderId="2" xfId="0" applyFont="1" applyBorder="1" applyAlignment="1">
      <alignment vertical="center" wrapText="1"/>
    </xf>
    <xf numFmtId="49" fontId="15" fillId="0" borderId="3" xfId="0" applyNumberFormat="1" applyFont="1" applyBorder="1" applyAlignment="1" applyProtection="1">
      <alignment vertical="center" wrapText="1"/>
      <protection locked="0"/>
    </xf>
    <xf numFmtId="49" fontId="10" fillId="0" borderId="3" xfId="0" applyNumberFormat="1" applyFont="1" applyBorder="1" applyAlignment="1" applyProtection="1">
      <alignment vertical="center" wrapText="1"/>
      <protection locked="0"/>
    </xf>
    <xf numFmtId="49" fontId="10" fillId="0" borderId="4" xfId="0" applyNumberFormat="1" applyFont="1" applyBorder="1" applyAlignment="1" applyProtection="1">
      <alignment vertical="center" wrapText="1"/>
      <protection locked="0"/>
    </xf>
    <xf numFmtId="0" fontId="7" fillId="0" borderId="0" xfId="0" applyFont="1" applyAlignment="1">
      <alignment vertical="center" wrapText="1"/>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9" fillId="0" borderId="3" xfId="0" applyFont="1" applyBorder="1" applyAlignment="1">
      <alignment vertical="center" wrapText="1"/>
    </xf>
    <xf numFmtId="0" fontId="10" fillId="0" borderId="3" xfId="0" applyFont="1" applyBorder="1" applyAlignment="1">
      <alignment wrapText="1"/>
    </xf>
    <xf numFmtId="0" fontId="10" fillId="0" borderId="3" xfId="0" applyFont="1" applyBorder="1" applyAlignment="1" applyProtection="1">
      <alignment wrapText="1"/>
      <protection locked="0"/>
    </xf>
    <xf numFmtId="0" fontId="10" fillId="0" borderId="4" xfId="0" applyFont="1" applyBorder="1" applyAlignment="1" applyProtection="1">
      <alignment wrapText="1"/>
      <protection locked="0"/>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0" fillId="0" borderId="3" xfId="0" applyBorder="1" applyAlignment="1">
      <alignment wrapText="1"/>
    </xf>
    <xf numFmtId="0" fontId="0" fillId="0" borderId="4" xfId="0" applyBorder="1" applyAlignment="1">
      <alignment wrapText="1"/>
    </xf>
    <xf numFmtId="0" fontId="15" fillId="0" borderId="30" xfId="0" applyFont="1" applyBorder="1" applyAlignment="1" applyProtection="1">
      <alignment vertical="top" wrapText="1"/>
      <protection locked="0"/>
    </xf>
    <xf numFmtId="0" fontId="15" fillId="0" borderId="31" xfId="0" applyFont="1" applyBorder="1" applyAlignment="1" applyProtection="1">
      <alignment vertical="top" wrapText="1"/>
      <protection locked="0"/>
    </xf>
    <xf numFmtId="0" fontId="10" fillId="0" borderId="31" xfId="0" applyFont="1" applyBorder="1" applyAlignment="1" applyProtection="1">
      <alignment vertical="top" wrapText="1"/>
      <protection locked="0"/>
    </xf>
    <xf numFmtId="0" fontId="10" fillId="0" borderId="32" xfId="0" applyFont="1" applyBorder="1" applyAlignment="1" applyProtection="1">
      <alignment vertical="top" wrapText="1"/>
      <protection locked="0"/>
    </xf>
    <xf numFmtId="0" fontId="0" fillId="0" borderId="33" xfId="0" applyBorder="1" applyAlignment="1">
      <alignment vertical="top" wrapText="1"/>
    </xf>
    <xf numFmtId="0" fontId="0" fillId="0" borderId="0" xfId="0" applyAlignment="1">
      <alignment vertical="top" wrapText="1"/>
    </xf>
    <xf numFmtId="0" fontId="0" fillId="0" borderId="34" xfId="0" applyBorder="1" applyAlignment="1">
      <alignment vertical="top" wrapText="1"/>
    </xf>
    <xf numFmtId="0" fontId="0" fillId="0" borderId="35" xfId="0" applyBorder="1" applyAlignment="1">
      <alignment vertical="top" wrapText="1"/>
    </xf>
    <xf numFmtId="0" fontId="0" fillId="0" borderId="28" xfId="0" applyBorder="1" applyAlignment="1">
      <alignment vertical="top" wrapText="1"/>
    </xf>
    <xf numFmtId="0" fontId="0" fillId="0" borderId="36" xfId="0" applyBorder="1" applyAlignment="1">
      <alignment vertical="top" wrapText="1"/>
    </xf>
    <xf numFmtId="0" fontId="0" fillId="0" borderId="3" xfId="0" applyBorder="1" applyAlignment="1">
      <alignment vertical="center" wrapText="1"/>
    </xf>
    <xf numFmtId="0" fontId="141" fillId="0" borderId="2" xfId="0" applyFont="1" applyBorder="1" applyAlignment="1">
      <alignment vertical="center" wrapText="1"/>
    </xf>
    <xf numFmtId="0" fontId="142" fillId="0" borderId="3" xfId="0" applyFont="1" applyBorder="1" applyAlignment="1">
      <alignment wrapText="1"/>
    </xf>
    <xf numFmtId="0" fontId="15" fillId="0" borderId="7"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120" fillId="0" borderId="0" xfId="0" applyFont="1" applyAlignment="1">
      <alignment horizontal="left" vertical="center" wrapText="1"/>
    </xf>
    <xf numFmtId="0" fontId="121" fillId="0" borderId="0" xfId="0" applyFont="1" applyAlignment="1">
      <alignment horizontal="left" vertical="center" wrapText="1"/>
    </xf>
    <xf numFmtId="0" fontId="122" fillId="0" borderId="0" xfId="0" applyFont="1" applyAlignment="1">
      <alignment horizontal="left" vertical="center" wrapText="1"/>
    </xf>
    <xf numFmtId="0" fontId="0" fillId="0" borderId="0" xfId="0" applyAlignment="1">
      <alignment horizontal="left"/>
    </xf>
    <xf numFmtId="0" fontId="121" fillId="0" borderId="28" xfId="0" applyFont="1" applyBorder="1" applyAlignment="1">
      <alignment horizontal="left" vertical="center" wrapText="1"/>
    </xf>
    <xf numFmtId="0" fontId="122" fillId="0" borderId="28" xfId="0" applyFont="1" applyBorder="1" applyAlignment="1">
      <alignment horizontal="left" vertical="center" wrapText="1"/>
    </xf>
    <xf numFmtId="0" fontId="0" fillId="0" borderId="28" xfId="0" applyBorder="1" applyAlignment="1">
      <alignment horizontal="left"/>
    </xf>
    <xf numFmtId="0" fontId="10" fillId="0" borderId="3" xfId="0" applyFont="1" applyBorder="1" applyAlignment="1">
      <alignment vertical="center" wrapText="1"/>
    </xf>
    <xf numFmtId="0" fontId="10" fillId="0" borderId="4" xfId="0" applyFont="1" applyBorder="1" applyAlignment="1">
      <alignment wrapText="1"/>
    </xf>
    <xf numFmtId="0" fontId="15" fillId="0" borderId="2" xfId="0" applyFont="1" applyBorder="1" applyAlignment="1" applyProtection="1">
      <alignment vertical="center" wrapText="1"/>
      <protection locked="0"/>
    </xf>
    <xf numFmtId="0" fontId="14" fillId="0" borderId="3" xfId="0" applyFont="1" applyBorder="1" applyAlignment="1" applyProtection="1">
      <alignment wrapText="1"/>
      <protection locked="0"/>
    </xf>
    <xf numFmtId="0" fontId="14" fillId="0" borderId="4" xfId="0" applyFont="1" applyBorder="1" applyAlignment="1" applyProtection="1">
      <alignment wrapText="1"/>
      <protection locked="0"/>
    </xf>
    <xf numFmtId="0" fontId="4" fillId="2" borderId="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0" fillId="0" borderId="8" xfId="0" applyBorder="1" applyAlignment="1">
      <alignment wrapText="1"/>
    </xf>
    <xf numFmtId="0" fontId="0" fillId="0" borderId="7" xfId="0" applyBorder="1" applyAlignment="1">
      <alignment wrapText="1"/>
    </xf>
    <xf numFmtId="0" fontId="9" fillId="0" borderId="5" xfId="0" applyFont="1" applyBorder="1" applyAlignment="1">
      <alignment vertical="center" wrapText="1"/>
    </xf>
    <xf numFmtId="0" fontId="10" fillId="0" borderId="5" xfId="0" applyFont="1" applyBorder="1" applyAlignment="1">
      <alignment wrapText="1"/>
    </xf>
    <xf numFmtId="0" fontId="10" fillId="0" borderId="6" xfId="0" applyFont="1" applyBorder="1" applyAlignment="1">
      <alignment wrapText="1"/>
    </xf>
    <xf numFmtId="0" fontId="10" fillId="0" borderId="5" xfId="0" applyFont="1" applyBorder="1" applyAlignment="1" applyProtection="1">
      <alignment vertical="center" wrapText="1"/>
      <protection locked="0"/>
    </xf>
    <xf numFmtId="49" fontId="15" fillId="0" borderId="7" xfId="0" applyNumberFormat="1" applyFont="1" applyBorder="1" applyAlignment="1" applyProtection="1">
      <alignment vertical="center" wrapText="1"/>
      <protection locked="0"/>
    </xf>
    <xf numFmtId="49" fontId="10" fillId="0" borderId="5" xfId="0" applyNumberFormat="1" applyFont="1" applyBorder="1" applyAlignment="1" applyProtection="1">
      <alignment vertical="center" wrapText="1"/>
      <protection locked="0"/>
    </xf>
    <xf numFmtId="0" fontId="4" fillId="2" borderId="5" xfId="0" applyFont="1" applyFill="1" applyBorder="1" applyAlignment="1">
      <alignment horizontal="left" vertical="center" wrapText="1"/>
    </xf>
    <xf numFmtId="0" fontId="0" fillId="0" borderId="5" xfId="0" applyBorder="1" applyAlignment="1">
      <alignment wrapText="1"/>
    </xf>
    <xf numFmtId="0" fontId="15" fillId="0" borderId="8"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167" fontId="15" fillId="0" borderId="8" xfId="0" applyNumberFormat="1" applyFont="1" applyBorder="1" applyAlignment="1" applyProtection="1">
      <alignment horizontal="left" vertical="center" wrapText="1"/>
      <protection locked="0"/>
    </xf>
    <xf numFmtId="167" fontId="11" fillId="0" borderId="8" xfId="0" applyNumberFormat="1" applyFont="1" applyBorder="1" applyAlignment="1" applyProtection="1">
      <alignment horizontal="left" wrapText="1"/>
      <protection locked="0"/>
    </xf>
    <xf numFmtId="167" fontId="11" fillId="0" borderId="7" xfId="0" applyNumberFormat="1" applyFont="1" applyBorder="1" applyAlignment="1" applyProtection="1">
      <alignment horizontal="left" wrapText="1"/>
      <protection locked="0"/>
    </xf>
    <xf numFmtId="0" fontId="15" fillId="0" borderId="8" xfId="0" applyFont="1" applyBorder="1" applyAlignment="1" applyProtection="1">
      <alignment horizontal="left" vertical="center" wrapText="1"/>
      <protection locked="0"/>
    </xf>
    <xf numFmtId="0" fontId="37" fillId="0" borderId="8" xfId="0" applyFont="1" applyBorder="1" applyAlignment="1" applyProtection="1">
      <alignment horizontal="left" vertical="center" wrapText="1"/>
      <protection locked="0"/>
    </xf>
    <xf numFmtId="0" fontId="37" fillId="0" borderId="7" xfId="0" applyFont="1" applyBorder="1" applyAlignment="1" applyProtection="1">
      <alignment horizontal="left" vertical="center" wrapText="1"/>
      <protection locked="0"/>
    </xf>
    <xf numFmtId="0" fontId="9" fillId="0" borderId="6" xfId="0" applyFont="1" applyBorder="1" applyAlignment="1">
      <alignment vertical="center" wrapText="1"/>
    </xf>
    <xf numFmtId="0" fontId="0" fillId="0" borderId="8" xfId="0" applyBorder="1" applyAlignment="1">
      <alignment vertical="center" wrapText="1"/>
    </xf>
    <xf numFmtId="0" fontId="9" fillId="0" borderId="8" xfId="0" applyFont="1" applyBorder="1" applyAlignment="1">
      <alignment vertical="center" wrapText="1"/>
    </xf>
    <xf numFmtId="0" fontId="9" fillId="0" borderId="0" xfId="0" applyFont="1" applyAlignment="1">
      <alignment vertical="top" wrapText="1"/>
    </xf>
    <xf numFmtId="0" fontId="20" fillId="0" borderId="0" xfId="0" applyFont="1" applyAlignment="1">
      <alignment vertical="top" wrapText="1"/>
    </xf>
    <xf numFmtId="0" fontId="20" fillId="0" borderId="13" xfId="0" applyFont="1" applyBorder="1" applyAlignment="1">
      <alignment vertical="top" wrapText="1"/>
    </xf>
    <xf numFmtId="0" fontId="9" fillId="0" borderId="12" xfId="0" applyFont="1" applyBorder="1" applyAlignment="1">
      <alignment horizontal="left" vertical="center" wrapText="1" indent="2"/>
    </xf>
    <xf numFmtId="0" fontId="9" fillId="0" borderId="0" xfId="0" applyFont="1" applyAlignment="1">
      <alignment horizontal="left" vertical="center" wrapText="1" indent="2"/>
    </xf>
    <xf numFmtId="0" fontId="20" fillId="0" borderId="8" xfId="0" applyFont="1" applyBorder="1" applyAlignment="1">
      <alignment vertical="center" wrapText="1"/>
    </xf>
    <xf numFmtId="0" fontId="20" fillId="0" borderId="1" xfId="0" applyFont="1" applyBorder="1" applyAlignment="1">
      <alignment wrapText="1"/>
    </xf>
    <xf numFmtId="0" fontId="15" fillId="0" borderId="6" xfId="0" applyFont="1" applyBorder="1" applyAlignment="1" applyProtection="1">
      <alignment vertical="center" wrapText="1"/>
      <protection locked="0"/>
    </xf>
    <xf numFmtId="0" fontId="14" fillId="0" borderId="8" xfId="0" applyFont="1" applyBorder="1" applyAlignment="1" applyProtection="1">
      <alignment wrapText="1"/>
      <protection locked="0"/>
    </xf>
    <xf numFmtId="0" fontId="14" fillId="0" borderId="7" xfId="0" applyFont="1" applyBorder="1" applyAlignment="1" applyProtection="1">
      <alignment wrapText="1"/>
      <protection locked="0"/>
    </xf>
    <xf numFmtId="0" fontId="120" fillId="0" borderId="0" xfId="0" applyFont="1" applyAlignment="1">
      <alignment horizontal="left" vertical="top" wrapText="1"/>
    </xf>
    <xf numFmtId="0" fontId="121" fillId="0" borderId="0" xfId="0" applyFont="1" applyAlignment="1">
      <alignment horizontal="left" vertical="top" wrapText="1"/>
    </xf>
    <xf numFmtId="0" fontId="0" fillId="0" borderId="0" xfId="0" applyAlignment="1">
      <alignment vertical="top"/>
    </xf>
    <xf numFmtId="0" fontId="121" fillId="0" borderId="28" xfId="0" applyFont="1" applyBorder="1" applyAlignment="1">
      <alignment horizontal="left" vertical="top" wrapText="1"/>
    </xf>
    <xf numFmtId="0" fontId="0" fillId="0" borderId="28" xfId="0" applyBorder="1" applyAlignment="1">
      <alignment vertical="top"/>
    </xf>
    <xf numFmtId="0" fontId="20" fillId="0" borderId="3" xfId="0" applyFont="1" applyBorder="1" applyAlignment="1">
      <alignment wrapText="1"/>
    </xf>
    <xf numFmtId="0" fontId="20" fillId="0" borderId="4" xfId="0" applyFont="1" applyBorder="1" applyAlignment="1">
      <alignment wrapText="1"/>
    </xf>
    <xf numFmtId="0" fontId="9" fillId="0" borderId="4" xfId="0" applyFont="1" applyBorder="1" applyAlignment="1">
      <alignment vertical="center" wrapText="1"/>
    </xf>
    <xf numFmtId="0" fontId="9" fillId="0" borderId="12" xfId="0" applyFont="1" applyBorder="1" applyAlignment="1">
      <alignment vertical="center" wrapText="1"/>
    </xf>
    <xf numFmtId="0" fontId="9" fillId="0" borderId="0" xfId="0" applyFont="1" applyAlignment="1">
      <alignment vertical="center" wrapText="1"/>
    </xf>
    <xf numFmtId="0" fontId="11" fillId="0" borderId="0" xfId="0" applyFont="1" applyAlignment="1">
      <alignment wrapText="1"/>
    </xf>
    <xf numFmtId="0" fontId="11" fillId="0" borderId="13" xfId="0" applyFont="1" applyBorder="1" applyAlignment="1">
      <alignment wrapText="1"/>
    </xf>
    <xf numFmtId="0" fontId="8" fillId="0" borderId="0" xfId="0" applyFont="1" applyAlignment="1">
      <alignment vertical="center" wrapText="1"/>
    </xf>
    <xf numFmtId="0" fontId="11" fillId="0" borderId="0" xfId="0" applyFont="1" applyAlignment="1">
      <alignment horizontal="right" vertical="top" textRotation="180" wrapText="1"/>
    </xf>
    <xf numFmtId="0" fontId="78" fillId="0" borderId="0" xfId="0" applyFont="1" applyAlignment="1">
      <alignment horizontal="right" vertical="top" textRotation="180"/>
    </xf>
    <xf numFmtId="0" fontId="11" fillId="0" borderId="3" xfId="0" applyFont="1" applyBorder="1" applyAlignment="1">
      <alignment vertical="center" wrapText="1"/>
    </xf>
    <xf numFmtId="0" fontId="0" fillId="0" borderId="4" xfId="0"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32" fillId="0" borderId="0" xfId="0" applyFont="1" applyAlignment="1">
      <alignment horizontal="center" vertical="center"/>
    </xf>
    <xf numFmtId="0" fontId="38" fillId="0" borderId="0" xfId="0" applyFont="1" applyAlignment="1">
      <alignment horizontal="center" vertical="center"/>
    </xf>
    <xf numFmtId="0" fontId="35" fillId="0" borderId="0" xfId="0" applyFont="1" applyAlignment="1">
      <alignment horizontal="left" wrapText="1"/>
    </xf>
    <xf numFmtId="0" fontId="36" fillId="0" borderId="0" xfId="0" applyFont="1" applyAlignment="1">
      <alignment wrapText="1"/>
    </xf>
    <xf numFmtId="0" fontId="39" fillId="0" borderId="0" xfId="0" applyFont="1" applyAlignment="1">
      <alignment horizontal="left" vertical="center" wrapText="1"/>
    </xf>
    <xf numFmtId="0" fontId="27" fillId="0" borderId="0" xfId="0" applyFont="1" applyAlignment="1">
      <alignment wrapText="1"/>
    </xf>
    <xf numFmtId="0" fontId="62" fillId="0" borderId="0" xfId="0" applyFont="1" applyAlignment="1">
      <alignment horizontal="left" vertical="center" wrapText="1"/>
    </xf>
    <xf numFmtId="0" fontId="27" fillId="0" borderId="0" xfId="0" applyFont="1" applyAlignment="1">
      <alignment horizontal="right"/>
    </xf>
    <xf numFmtId="0" fontId="61" fillId="0" borderId="0" xfId="1" applyFont="1" applyFill="1" applyBorder="1" applyAlignment="1">
      <alignment horizontal="left" vertical="center"/>
    </xf>
    <xf numFmtId="0" fontId="27" fillId="0" borderId="0" xfId="0" applyFont="1" applyAlignment="1">
      <alignment horizontal="right" vertical="center" wrapText="1"/>
    </xf>
    <xf numFmtId="0" fontId="27" fillId="0" borderId="0" xfId="0" applyFont="1" applyAlignment="1">
      <alignment horizontal="left" vertical="center" wrapText="1"/>
    </xf>
    <xf numFmtId="0" fontId="62"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center" vertical="center" wrapText="1"/>
    </xf>
    <xf numFmtId="0" fontId="35" fillId="0" borderId="0" xfId="0" applyFont="1" applyAlignment="1">
      <alignment horizontal="right" vertical="center"/>
    </xf>
    <xf numFmtId="0" fontId="1" fillId="0" borderId="0" xfId="0" applyFont="1" applyAlignment="1">
      <alignment horizontal="left" vertical="center" wrapText="1"/>
    </xf>
    <xf numFmtId="0" fontId="1" fillId="3" borderId="0" xfId="0" applyFont="1" applyFill="1" applyAlignment="1">
      <alignment horizontal="left" vertical="center" wrapText="1"/>
    </xf>
    <xf numFmtId="0" fontId="0" fillId="0" borderId="0" xfId="0" applyAlignment="1">
      <alignment wrapText="1"/>
    </xf>
    <xf numFmtId="0" fontId="35" fillId="3" borderId="0" xfId="0" applyFont="1" applyFill="1" applyAlignment="1">
      <alignment horizontal="center" vertical="center" wrapText="1"/>
    </xf>
    <xf numFmtId="0" fontId="103" fillId="3" borderId="0" xfId="0" applyFont="1" applyFill="1" applyAlignment="1">
      <alignment horizontal="center" vertical="center" wrapText="1"/>
    </xf>
    <xf numFmtId="167" fontId="39" fillId="0" borderId="0" xfId="0" applyNumberFormat="1" applyFont="1" applyAlignment="1">
      <alignment horizontal="left" vertical="center" wrapText="1"/>
    </xf>
    <xf numFmtId="167" fontId="37" fillId="0" borderId="0" xfId="0" applyNumberFormat="1" applyFont="1" applyAlignment="1">
      <alignment horizontal="left" vertical="center" wrapText="1"/>
    </xf>
    <xf numFmtId="0" fontId="115" fillId="0" borderId="0" xfId="1" applyFont="1" applyFill="1" applyBorder="1" applyAlignment="1">
      <alignment horizontal="left" vertical="center" wrapText="1"/>
    </xf>
    <xf numFmtId="0" fontId="115" fillId="0" borderId="0" xfId="1" applyFont="1" applyFill="1" applyAlignment="1"/>
    <xf numFmtId="0" fontId="115" fillId="0" borderId="0" xfId="1" applyFont="1" applyAlignment="1"/>
    <xf numFmtId="0" fontId="23" fillId="0" borderId="0" xfId="0" applyFont="1" applyAlignment="1">
      <alignment horizontal="right" vertical="center" wrapText="1"/>
    </xf>
    <xf numFmtId="0" fontId="23"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0" fillId="0" borderId="13" xfId="0" applyBorder="1" applyAlignment="1" applyProtection="1">
      <alignment vertical="center" wrapText="1"/>
      <protection locked="0"/>
    </xf>
    <xf numFmtId="0" fontId="31" fillId="0" borderId="0" xfId="0" applyFont="1" applyAlignment="1" applyProtection="1">
      <alignment horizontal="center" vertical="center" wrapText="1"/>
      <protection locked="0"/>
    </xf>
    <xf numFmtId="0" fontId="0" fillId="0" borderId="0" xfId="0" applyAlignment="1">
      <alignment horizontal="center" wrapText="1"/>
    </xf>
    <xf numFmtId="167" fontId="74" fillId="0" borderId="0" xfId="0" applyNumberFormat="1" applyFont="1" applyAlignment="1" applyProtection="1">
      <alignment horizontal="left" vertical="center" wrapText="1"/>
      <protection locked="0"/>
    </xf>
    <xf numFmtId="0" fontId="57" fillId="0" borderId="0" xfId="0" applyFont="1" applyAlignment="1">
      <alignment horizontal="center" wrapText="1"/>
    </xf>
    <xf numFmtId="1" fontId="74" fillId="0" borderId="0" xfId="0" applyNumberFormat="1" applyFont="1" applyAlignment="1" applyProtection="1">
      <alignment horizontal="left" vertical="center" wrapText="1"/>
      <protection locked="0"/>
    </xf>
    <xf numFmtId="1" fontId="0" fillId="0" borderId="0" xfId="0" applyNumberFormat="1" applyAlignment="1">
      <alignment horizontal="left" vertical="center" wrapText="1"/>
    </xf>
    <xf numFmtId="0" fontId="23" fillId="0" borderId="0" xfId="0" applyFont="1" applyAlignment="1" applyProtection="1">
      <alignment horizontal="left" vertical="center" wrapText="1"/>
      <protection locked="0"/>
    </xf>
    <xf numFmtId="0" fontId="0" fillId="0" borderId="0" xfId="0" applyAlignment="1">
      <alignment horizontal="left" vertical="center" wrapText="1"/>
    </xf>
    <xf numFmtId="0" fontId="23" fillId="0" borderId="10"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23" fillId="0" borderId="18" xfId="0" applyFont="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23" fillId="0" borderId="14"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23" fillId="0" borderId="0" xfId="0" applyFont="1" applyAlignment="1" applyProtection="1">
      <alignment wrapText="1"/>
      <protection locked="0"/>
    </xf>
    <xf numFmtId="0" fontId="25" fillId="0" borderId="0" xfId="0" applyFont="1" applyAlignment="1">
      <alignment wrapText="1"/>
    </xf>
    <xf numFmtId="0" fontId="37" fillId="0" borderId="0" xfId="0" applyFont="1" applyAlignment="1">
      <alignment wrapText="1"/>
    </xf>
    <xf numFmtId="0" fontId="23" fillId="0" borderId="0" xfId="0" applyFont="1" applyAlignment="1" applyProtection="1">
      <alignment horizontal="left" vertical="center" wrapText="1" indent="2"/>
      <protection locked="0"/>
    </xf>
    <xf numFmtId="0" fontId="0" fillId="0" borderId="0" xfId="0" applyAlignment="1" applyProtection="1">
      <alignment horizontal="left" vertical="center" wrapText="1" indent="2"/>
      <protection locked="0"/>
    </xf>
    <xf numFmtId="0" fontId="0" fillId="0" borderId="13" xfId="0" applyBorder="1" applyAlignment="1" applyProtection="1">
      <alignment horizontal="left" vertical="center" wrapText="1" indent="2"/>
      <protection locked="0"/>
    </xf>
    <xf numFmtId="0" fontId="0" fillId="0" borderId="0" xfId="0" applyAlignment="1" applyProtection="1">
      <alignment wrapText="1"/>
      <protection locked="0"/>
    </xf>
    <xf numFmtId="0" fontId="29" fillId="0" borderId="0" xfId="0" applyFont="1" applyAlignment="1">
      <alignment vertical="top" wrapText="1"/>
    </xf>
    <xf numFmtId="0" fontId="30" fillId="0" borderId="0" xfId="0" applyFont="1" applyAlignment="1">
      <alignment vertical="top" wrapText="1"/>
    </xf>
    <xf numFmtId="0" fontId="1" fillId="0" borderId="0" xfId="0" applyFont="1" applyAlignment="1">
      <alignment horizontal="right"/>
    </xf>
    <xf numFmtId="0" fontId="50" fillId="0" borderId="0" xfId="0" applyFont="1" applyAlignment="1">
      <alignment wrapText="1"/>
    </xf>
    <xf numFmtId="0" fontId="50" fillId="0" borderId="0" xfId="0" applyFont="1" applyAlignment="1">
      <alignment vertical="center" wrapText="1"/>
    </xf>
    <xf numFmtId="0" fontId="27" fillId="0" borderId="6" xfId="0" applyFont="1" applyBorder="1" applyAlignment="1">
      <alignment horizontal="left" vertical="top"/>
    </xf>
    <xf numFmtId="0" fontId="0" fillId="0" borderId="7" xfId="0" applyBorder="1" applyAlignment="1">
      <alignment horizontal="left"/>
    </xf>
    <xf numFmtId="0" fontId="0" fillId="0" borderId="6" xfId="0" applyBorder="1" applyAlignment="1">
      <alignment horizontal="left" vertical="top"/>
    </xf>
    <xf numFmtId="0" fontId="37" fillId="0" borderId="0" xfId="0" applyFont="1" applyAlignment="1">
      <alignment horizontal="left" vertical="center" wrapText="1"/>
    </xf>
    <xf numFmtId="0" fontId="61" fillId="0" borderId="0" xfId="1" applyFont="1" applyFill="1" applyBorder="1" applyAlignment="1">
      <alignment horizontal="center" vertical="center" wrapText="1"/>
    </xf>
    <xf numFmtId="0" fontId="61" fillId="0" borderId="0" xfId="1" applyFont="1" applyFill="1" applyAlignment="1"/>
    <xf numFmtId="167" fontId="29" fillId="8" borderId="9" xfId="0" applyNumberFormat="1" applyFont="1" applyFill="1" applyBorder="1" applyAlignment="1">
      <alignment horizontal="left" vertical="center" wrapText="1"/>
    </xf>
    <xf numFmtId="0" fontId="35" fillId="0" borderId="0" xfId="0" applyFont="1" applyAlignment="1">
      <alignment horizontal="center" vertical="center"/>
    </xf>
    <xf numFmtId="0" fontId="0" fillId="0" borderId="0" xfId="0" applyAlignment="1">
      <alignment horizontal="center" vertical="center"/>
    </xf>
    <xf numFmtId="168" fontId="39" fillId="0" borderId="0" xfId="0" applyNumberFormat="1" applyFont="1" applyAlignment="1">
      <alignment horizontal="left" vertical="center" wrapText="1"/>
    </xf>
    <xf numFmtId="0" fontId="115" fillId="0" borderId="0" xfId="1" applyFont="1" applyFill="1" applyAlignment="1">
      <alignment vertical="center"/>
    </xf>
    <xf numFmtId="0" fontId="115" fillId="0" borderId="0" xfId="1" applyFont="1" applyAlignment="1">
      <alignment vertical="center"/>
    </xf>
    <xf numFmtId="0" fontId="1" fillId="0" borderId="0" xfId="0" applyFont="1" applyAlignment="1">
      <alignment horizontal="right" vertical="center" wrapText="1"/>
    </xf>
    <xf numFmtId="0" fontId="0" fillId="0" borderId="0" xfId="0" applyAlignment="1">
      <alignment horizontal="right" vertical="center" wrapText="1"/>
    </xf>
    <xf numFmtId="0" fontId="32" fillId="0" borderId="0" xfId="0" applyFont="1" applyAlignment="1">
      <alignment horizontal="left"/>
    </xf>
    <xf numFmtId="0" fontId="60" fillId="0" borderId="0" xfId="0" applyFont="1" applyAlignment="1">
      <alignment horizontal="left" vertical="center" wrapText="1"/>
    </xf>
    <xf numFmtId="0" fontId="27" fillId="0" borderId="0" xfId="0" applyFont="1" applyAlignment="1">
      <alignment horizontal="center" vertical="center"/>
    </xf>
    <xf numFmtId="0" fontId="124" fillId="0" borderId="0" xfId="0" applyFont="1" applyAlignment="1">
      <alignment horizontal="left" vertical="center" wrapText="1"/>
    </xf>
    <xf numFmtId="0" fontId="125" fillId="0" borderId="0" xfId="0" applyFont="1" applyAlignment="1">
      <alignment vertical="center" wrapText="1"/>
    </xf>
    <xf numFmtId="0" fontId="32" fillId="0" borderId="13" xfId="0" applyFont="1" applyBorder="1" applyAlignment="1">
      <alignment horizontal="left" vertical="center" wrapText="1"/>
    </xf>
    <xf numFmtId="167" fontId="29" fillId="8" borderId="12" xfId="0" applyNumberFormat="1" applyFont="1" applyFill="1" applyBorder="1" applyAlignment="1">
      <alignment horizontal="left" vertical="center" wrapText="1"/>
    </xf>
    <xf numFmtId="168" fontId="0" fillId="0" borderId="0" xfId="0" applyNumberFormat="1" applyAlignment="1">
      <alignment horizontal="left" vertical="center" wrapText="1"/>
    </xf>
    <xf numFmtId="0" fontId="39" fillId="0" borderId="15" xfId="0" applyFont="1" applyBorder="1" applyAlignment="1">
      <alignment horizontal="left" vertical="top" wrapText="1"/>
    </xf>
    <xf numFmtId="0" fontId="37" fillId="0" borderId="15" xfId="0" applyFont="1" applyBorder="1" applyAlignment="1">
      <alignment horizontal="left" vertical="top" wrapText="1"/>
    </xf>
    <xf numFmtId="0" fontId="37" fillId="0" borderId="16" xfId="0" applyFont="1" applyBorder="1" applyAlignment="1">
      <alignment horizontal="left" vertical="top" wrapText="1"/>
    </xf>
    <xf numFmtId="0" fontId="61" fillId="0" borderId="0" xfId="1" applyFont="1" applyFill="1" applyBorder="1" applyAlignment="1"/>
    <xf numFmtId="0" fontId="79" fillId="8" borderId="0" xfId="0" applyFont="1" applyFill="1" applyAlignment="1">
      <alignment vertical="center" wrapText="1"/>
    </xf>
    <xf numFmtId="0" fontId="80" fillId="8" borderId="0" xfId="0" applyFont="1" applyFill="1" applyAlignment="1">
      <alignment wrapText="1"/>
    </xf>
    <xf numFmtId="0" fontId="27" fillId="0" borderId="9" xfId="0" applyFont="1" applyBorder="1" applyAlignment="1">
      <alignment horizontal="left" vertical="top"/>
    </xf>
    <xf numFmtId="0" fontId="0" fillId="0" borderId="12" xfId="0" applyBorder="1" applyAlignment="1">
      <alignment horizontal="left" vertical="top"/>
    </xf>
    <xf numFmtId="0" fontId="0" fillId="0" borderId="17" xfId="0" applyBorder="1" applyAlignment="1">
      <alignment horizontal="left" vertical="top"/>
    </xf>
    <xf numFmtId="0" fontId="81" fillId="8" borderId="12" xfId="0" applyFont="1" applyFill="1" applyBorder="1" applyAlignment="1">
      <alignment horizontal="left" vertical="center" wrapText="1"/>
    </xf>
    <xf numFmtId="0" fontId="32" fillId="0" borderId="0" xfId="0" applyFont="1" applyAlignment="1">
      <alignment vertical="center"/>
    </xf>
    <xf numFmtId="0" fontId="79" fillId="8" borderId="12" xfId="0" applyFont="1" applyFill="1" applyBorder="1" applyAlignment="1">
      <alignment vertical="center"/>
    </xf>
    <xf numFmtId="0" fontId="80" fillId="8" borderId="0" xfId="0" applyFont="1" applyFill="1" applyAlignment="1">
      <alignment vertical="center"/>
    </xf>
    <xf numFmtId="0" fontId="80" fillId="8" borderId="12" xfId="0" applyFont="1" applyFill="1" applyBorder="1" applyAlignment="1">
      <alignment vertical="center"/>
    </xf>
    <xf numFmtId="170" fontId="39" fillId="0" borderId="0" xfId="0" applyNumberFormat="1" applyFont="1" applyAlignment="1">
      <alignment horizontal="left" vertical="center" wrapText="1"/>
    </xf>
    <xf numFmtId="0" fontId="80" fillId="8" borderId="0" xfId="0" applyFont="1" applyFill="1" applyAlignment="1">
      <alignment vertical="center" wrapText="1"/>
    </xf>
    <xf numFmtId="0" fontId="75" fillId="0" borderId="0" xfId="0" applyFont="1" applyAlignment="1">
      <alignment horizontal="center" vertical="center" wrapText="1"/>
    </xf>
    <xf numFmtId="0" fontId="0" fillId="0" borderId="0" xfId="0" applyAlignment="1">
      <alignment vertical="center"/>
    </xf>
    <xf numFmtId="14" fontId="39" fillId="0" borderId="0" xfId="0" applyNumberFormat="1" applyFont="1" applyAlignment="1">
      <alignment horizontal="left" vertical="center" wrapText="1"/>
    </xf>
    <xf numFmtId="14" fontId="0" fillId="0" borderId="0" xfId="0" applyNumberFormat="1" applyAlignment="1">
      <alignment horizontal="left" vertical="center" wrapText="1"/>
    </xf>
    <xf numFmtId="0" fontId="75" fillId="3" borderId="0" xfId="0" applyFont="1" applyFill="1" applyAlignment="1">
      <alignment horizontal="center" vertical="center" wrapText="1"/>
    </xf>
    <xf numFmtId="0" fontId="0" fillId="0" borderId="0" xfId="0" applyAlignment="1">
      <alignment vertical="center" wrapText="1"/>
    </xf>
    <xf numFmtId="0" fontId="125" fillId="0" borderId="0" xfId="0" applyFont="1" applyAlignment="1">
      <alignment wrapText="1"/>
    </xf>
    <xf numFmtId="0" fontId="52" fillId="0" borderId="38" xfId="1" applyFont="1" applyFill="1" applyBorder="1" applyAlignment="1" applyProtection="1">
      <alignment horizontal="right"/>
    </xf>
    <xf numFmtId="0" fontId="46" fillId="0" borderId="39" xfId="0" applyFont="1" applyBorder="1" applyAlignment="1">
      <alignment horizontal="right"/>
    </xf>
    <xf numFmtId="0" fontId="46" fillId="0" borderId="40" xfId="0" applyFont="1" applyBorder="1" applyAlignment="1">
      <alignment horizontal="right"/>
    </xf>
    <xf numFmtId="0" fontId="123" fillId="0" borderId="38" xfId="1" applyFont="1" applyFill="1" applyBorder="1" applyAlignment="1" applyProtection="1">
      <alignment horizontal="left"/>
    </xf>
    <xf numFmtId="0" fontId="46" fillId="0" borderId="39" xfId="0" applyFont="1" applyBorder="1" applyAlignment="1">
      <alignment horizontal="left"/>
    </xf>
    <xf numFmtId="0" fontId="46" fillId="0" borderId="40" xfId="0" applyFont="1" applyBorder="1" applyAlignment="1">
      <alignment horizontal="left"/>
    </xf>
    <xf numFmtId="167" fontId="109" fillId="0" borderId="39" xfId="0" applyNumberFormat="1" applyFont="1" applyBorder="1" applyAlignment="1" applyProtection="1">
      <alignment horizontal="left"/>
      <protection locked="0"/>
    </xf>
    <xf numFmtId="0" fontId="118" fillId="0" borderId="38" xfId="1" applyFont="1" applyFill="1" applyBorder="1" applyAlignment="1" applyProtection="1">
      <alignment horizontal="center" vertical="center"/>
    </xf>
    <xf numFmtId="0" fontId="17" fillId="8" borderId="0" xfId="1" applyFill="1" applyAlignment="1" applyProtection="1"/>
    <xf numFmtId="0" fontId="92" fillId="0" borderId="0" xfId="0" applyFont="1" applyAlignment="1">
      <alignment horizontal="left" vertical="top" wrapText="1"/>
    </xf>
    <xf numFmtId="167" fontId="51" fillId="0" borderId="10" xfId="0" applyNumberFormat="1" applyFont="1" applyBorder="1" applyAlignment="1" applyProtection="1">
      <alignment horizontal="left"/>
      <protection locked="0"/>
    </xf>
    <xf numFmtId="0" fontId="46" fillId="9" borderId="0" xfId="0" applyFont="1" applyFill="1" applyAlignment="1">
      <alignment horizontal="center" vertical="center"/>
    </xf>
    <xf numFmtId="0" fontId="0" fillId="9" borderId="0" xfId="0" applyFill="1" applyAlignment="1">
      <alignment horizontal="center" vertical="center"/>
    </xf>
    <xf numFmtId="0" fontId="46" fillId="10" borderId="0" xfId="0" applyFont="1" applyFill="1" applyAlignment="1">
      <alignment horizontal="center" vertical="center"/>
    </xf>
    <xf numFmtId="0" fontId="0" fillId="10" borderId="0" xfId="0" applyFill="1" applyAlignment="1">
      <alignment horizontal="center" vertical="center"/>
    </xf>
    <xf numFmtId="164" fontId="51" fillId="0" borderId="10" xfId="0" applyNumberFormat="1" applyFont="1" applyBorder="1" applyAlignment="1">
      <alignment horizontal="left" readingOrder="1"/>
    </xf>
    <xf numFmtId="0" fontId="46" fillId="0" borderId="10" xfId="0" applyFont="1" applyBorder="1" applyAlignment="1">
      <alignment horizontal="left" readingOrder="1"/>
    </xf>
    <xf numFmtId="0" fontId="46" fillId="9" borderId="0" xfId="0" applyFont="1" applyFill="1" applyAlignment="1">
      <alignment horizontal="right" vertical="center" wrapText="1"/>
    </xf>
    <xf numFmtId="0" fontId="0" fillId="9" borderId="0" xfId="0" applyFill="1" applyAlignment="1">
      <alignment wrapText="1"/>
    </xf>
    <xf numFmtId="164" fontId="51" fillId="9" borderId="0" xfId="0" applyNumberFormat="1" applyFont="1" applyFill="1" applyAlignment="1">
      <alignment horizontal="left" vertical="center" wrapText="1"/>
    </xf>
    <xf numFmtId="0" fontId="0" fillId="9" borderId="0" xfId="0" applyFill="1" applyAlignment="1">
      <alignment horizontal="left" vertical="center" wrapText="1"/>
    </xf>
    <xf numFmtId="164" fontId="109" fillId="9" borderId="0" xfId="0" applyNumberFormat="1" applyFont="1" applyFill="1" applyAlignment="1">
      <alignment horizontal="center" vertical="center" wrapText="1"/>
    </xf>
    <xf numFmtId="1" fontId="64" fillId="9" borderId="0" xfId="0" applyNumberFormat="1" applyFont="1" applyFill="1" applyAlignment="1" applyProtection="1">
      <alignment horizontal="center" vertical="center" wrapText="1"/>
      <protection locked="0"/>
    </xf>
    <xf numFmtId="0" fontId="37" fillId="9" borderId="0" xfId="0" applyFont="1" applyFill="1" applyAlignment="1" applyProtection="1">
      <alignment horizontal="center" wrapText="1"/>
      <protection locked="0"/>
    </xf>
    <xf numFmtId="2" fontId="59" fillId="9" borderId="0" xfId="0" applyNumberFormat="1" applyFont="1" applyFill="1" applyAlignment="1">
      <alignment horizontal="center" vertical="center" wrapText="1"/>
    </xf>
    <xf numFmtId="0" fontId="0" fillId="9" borderId="0" xfId="0" applyFill="1" applyAlignment="1">
      <alignment horizontal="center"/>
    </xf>
    <xf numFmtId="0" fontId="52" fillId="10" borderId="0" xfId="0" applyFont="1" applyFill="1" applyAlignment="1">
      <alignment horizontal="right" vertical="center" wrapText="1"/>
    </xf>
    <xf numFmtId="164" fontId="51" fillId="10" borderId="0" xfId="0" applyNumberFormat="1" applyFont="1" applyFill="1" applyAlignment="1">
      <alignment horizontal="left" vertical="center" wrapText="1"/>
    </xf>
    <xf numFmtId="0" fontId="0" fillId="10" borderId="0" xfId="0" applyFill="1" applyAlignment="1">
      <alignment horizontal="left" vertical="center" wrapText="1"/>
    </xf>
    <xf numFmtId="164" fontId="109" fillId="10" borderId="0" xfId="0" applyNumberFormat="1" applyFont="1" applyFill="1" applyAlignment="1">
      <alignment horizontal="center" vertical="center" wrapText="1"/>
    </xf>
    <xf numFmtId="0" fontId="37" fillId="10" borderId="0" xfId="0" applyFont="1" applyFill="1" applyAlignment="1">
      <alignment horizontal="center" vertical="center" wrapText="1"/>
    </xf>
    <xf numFmtId="1" fontId="59" fillId="10" borderId="0" xfId="0" applyNumberFormat="1" applyFont="1" applyFill="1" applyAlignment="1">
      <alignment horizontal="center" vertical="center" wrapText="1"/>
    </xf>
    <xf numFmtId="0" fontId="0" fillId="10" borderId="0" xfId="0" applyFill="1" applyAlignment="1">
      <alignment horizontal="center"/>
    </xf>
    <xf numFmtId="2" fontId="59" fillId="10" borderId="0" xfId="0" applyNumberFormat="1" applyFont="1" applyFill="1" applyAlignment="1">
      <alignment horizontal="center" vertical="center" wrapText="1"/>
    </xf>
    <xf numFmtId="0" fontId="52" fillId="9" borderId="0" xfId="0" applyFont="1" applyFill="1" applyAlignment="1">
      <alignment horizontal="right" vertical="center" wrapText="1"/>
    </xf>
    <xf numFmtId="0" fontId="45" fillId="9" borderId="0" xfId="0" applyFont="1" applyFill="1" applyAlignment="1">
      <alignment wrapText="1"/>
    </xf>
    <xf numFmtId="1" fontId="59" fillId="9" borderId="0" xfId="0" applyNumberFormat="1" applyFont="1" applyFill="1" applyAlignment="1">
      <alignment horizontal="center" vertical="center" wrapText="1"/>
    </xf>
    <xf numFmtId="0" fontId="45" fillId="10" borderId="0" xfId="0" applyFont="1" applyFill="1" applyAlignment="1">
      <alignment wrapText="1"/>
    </xf>
    <xf numFmtId="0" fontId="52" fillId="10" borderId="0" xfId="0" applyFont="1" applyFill="1" applyAlignment="1">
      <alignment horizontal="right" wrapText="1"/>
    </xf>
    <xf numFmtId="0" fontId="52" fillId="9" borderId="0" xfId="0" applyFont="1" applyFill="1" applyAlignment="1">
      <alignment horizontal="right" wrapText="1"/>
    </xf>
    <xf numFmtId="0" fontId="52" fillId="0" borderId="0" xfId="0" applyFont="1" applyAlignment="1">
      <alignment horizontal="left" vertical="center"/>
    </xf>
    <xf numFmtId="172" fontId="52" fillId="0" borderId="0" xfId="0" applyNumberFormat="1" applyFont="1" applyAlignment="1">
      <alignment horizontal="left" vertical="center"/>
    </xf>
    <xf numFmtId="172" fontId="45" fillId="0" borderId="0" xfId="0" applyNumberFormat="1" applyFont="1" applyAlignment="1">
      <alignment horizontal="left" vertical="center"/>
    </xf>
    <xf numFmtId="0" fontId="45" fillId="0" borderId="0" xfId="0" applyFont="1" applyAlignment="1">
      <alignment horizontal="left" vertical="center"/>
    </xf>
    <xf numFmtId="0" fontId="140" fillId="0" borderId="0" xfId="0" applyFont="1" applyAlignment="1">
      <alignment horizontal="left" vertical="center"/>
    </xf>
    <xf numFmtId="0" fontId="0" fillId="0" borderId="0" xfId="0" applyAlignment="1">
      <alignment horizontal="left" vertical="center"/>
    </xf>
    <xf numFmtId="0" fontId="126" fillId="8" borderId="0" xfId="1" applyFont="1" applyFill="1" applyAlignment="1" applyProtection="1"/>
    <xf numFmtId="0" fontId="126" fillId="8" borderId="0" xfId="1" applyFont="1" applyFill="1" applyAlignment="1"/>
    <xf numFmtId="0" fontId="51" fillId="0" borderId="0" xfId="0" applyFont="1" applyAlignment="1">
      <alignment horizontal="left" wrapText="1"/>
    </xf>
    <xf numFmtId="0" fontId="123" fillId="8" borderId="0" xfId="1" applyFont="1" applyFill="1" applyAlignment="1" applyProtection="1"/>
    <xf numFmtId="0" fontId="123" fillId="8" borderId="0" xfId="1" applyFont="1" applyFill="1" applyAlignment="1"/>
    <xf numFmtId="0" fontId="46" fillId="8" borderId="0" xfId="0" applyFont="1" applyFill="1" applyAlignment="1">
      <alignment wrapText="1"/>
    </xf>
    <xf numFmtId="0" fontId="0" fillId="8" borderId="0" xfId="0" applyFill="1" applyAlignment="1">
      <alignment wrapText="1"/>
    </xf>
    <xf numFmtId="0" fontId="52" fillId="8" borderId="0" xfId="0" applyFont="1" applyFill="1" applyAlignment="1">
      <alignment horizontal="left" vertical="top" wrapText="1"/>
    </xf>
    <xf numFmtId="0" fontId="45" fillId="8" borderId="0" xfId="0" applyFont="1" applyFill="1" applyAlignment="1">
      <alignment horizontal="left" vertical="top" wrapText="1"/>
    </xf>
    <xf numFmtId="0" fontId="55" fillId="8" borderId="0" xfId="0" applyFont="1" applyFill="1" applyAlignment="1">
      <alignment horizontal="left" vertical="top" wrapText="1"/>
    </xf>
    <xf numFmtId="0" fontId="64" fillId="8" borderId="0" xfId="0" applyFont="1" applyFill="1" applyAlignment="1">
      <alignment horizontal="left" vertical="top" wrapText="1"/>
    </xf>
    <xf numFmtId="0" fontId="51" fillId="0" borderId="10" xfId="0" applyFont="1" applyBorder="1" applyAlignment="1">
      <alignment vertical="top" wrapText="1"/>
    </xf>
    <xf numFmtId="0" fontId="0" fillId="0" borderId="10" xfId="0" applyBorder="1" applyAlignment="1">
      <alignment vertical="top" wrapText="1"/>
    </xf>
    <xf numFmtId="0" fontId="62" fillId="11" borderId="0" xfId="0" quotePrefix="1" applyFont="1" applyFill="1" applyAlignment="1">
      <alignment horizontal="center" vertical="center" wrapText="1"/>
    </xf>
    <xf numFmtId="0" fontId="64" fillId="11" borderId="0" xfId="0" applyFont="1" applyFill="1" applyAlignment="1">
      <alignment horizontal="center" wrapText="1"/>
    </xf>
    <xf numFmtId="0" fontId="0" fillId="11" borderId="0" xfId="0" applyFill="1" applyAlignment="1">
      <alignment wrapText="1"/>
    </xf>
    <xf numFmtId="0" fontId="0" fillId="11" borderId="13" xfId="0" applyFill="1" applyBorder="1" applyAlignment="1">
      <alignment wrapText="1"/>
    </xf>
    <xf numFmtId="0" fontId="62" fillId="11" borderId="0" xfId="0" applyFont="1" applyFill="1" applyAlignment="1">
      <alignment horizontal="center" vertical="center"/>
    </xf>
    <xf numFmtId="0" fontId="27" fillId="11" borderId="0" xfId="0" applyFont="1" applyFill="1" applyAlignment="1">
      <alignment horizontal="right" vertical="center" wrapText="1"/>
    </xf>
    <xf numFmtId="0" fontId="0" fillId="11" borderId="0" xfId="0" applyFill="1" applyAlignment="1">
      <alignment vertical="center"/>
    </xf>
    <xf numFmtId="1" fontId="39" fillId="11" borderId="0" xfId="0" applyNumberFormat="1" applyFont="1" applyFill="1" applyAlignment="1">
      <alignment horizontal="left" vertical="center" wrapText="1"/>
    </xf>
    <xf numFmtId="1" fontId="0" fillId="11" borderId="0" xfId="0" applyNumberFormat="1" applyFill="1" applyAlignment="1">
      <alignment horizontal="left" vertical="center" wrapText="1"/>
    </xf>
    <xf numFmtId="0" fontId="39" fillId="11" borderId="0" xfId="0" applyFont="1" applyFill="1" applyAlignment="1">
      <alignment horizontal="left" vertical="center" wrapText="1"/>
    </xf>
    <xf numFmtId="0" fontId="0" fillId="11" borderId="0" xfId="0" applyFill="1" applyAlignment="1">
      <alignment horizontal="left" vertical="center" wrapText="1"/>
    </xf>
    <xf numFmtId="0" fontId="27" fillId="11" borderId="0" xfId="0" applyFont="1" applyFill="1" applyAlignment="1">
      <alignment horizontal="right" vertical="center"/>
    </xf>
    <xf numFmtId="0" fontId="39" fillId="11" borderId="0" xfId="1" applyFont="1" applyFill="1" applyBorder="1" applyAlignment="1">
      <alignment horizontal="left" vertical="center"/>
    </xf>
    <xf numFmtId="0" fontId="37" fillId="11" borderId="0" xfId="0" applyFont="1" applyFill="1" applyAlignment="1">
      <alignment horizontal="left" vertical="center"/>
    </xf>
    <xf numFmtId="0" fontId="0" fillId="11" borderId="0" xfId="0" applyFill="1" applyAlignment="1">
      <alignment horizontal="right" vertical="center" wrapText="1"/>
    </xf>
    <xf numFmtId="168" fontId="39" fillId="11" borderId="0" xfId="0" applyNumberFormat="1" applyFont="1" applyFill="1" applyAlignment="1">
      <alignment horizontal="left" vertical="center" wrapText="1"/>
    </xf>
    <xf numFmtId="168" fontId="0" fillId="11" borderId="0" xfId="0" applyNumberFormat="1" applyFill="1" applyAlignment="1">
      <alignment horizontal="left" vertical="center" wrapText="1"/>
    </xf>
    <xf numFmtId="0" fontId="0" fillId="11" borderId="0" xfId="0" applyFill="1" applyAlignment="1">
      <alignment vertical="center" wrapText="1"/>
    </xf>
    <xf numFmtId="0" fontId="61" fillId="11" borderId="0" xfId="1" applyFont="1" applyFill="1" applyBorder="1" applyAlignment="1">
      <alignment horizontal="left" vertical="center"/>
    </xf>
    <xf numFmtId="0" fontId="27" fillId="0" borderId="0" xfId="0" quotePrefix="1" applyFont="1" applyAlignment="1">
      <alignment vertical="top" wrapText="1"/>
    </xf>
    <xf numFmtId="167" fontId="39" fillId="11" borderId="0" xfId="0" applyNumberFormat="1" applyFont="1" applyFill="1" applyAlignment="1">
      <alignment horizontal="left" vertical="center" wrapText="1"/>
    </xf>
    <xf numFmtId="167" fontId="37" fillId="11" borderId="0" xfId="0" applyNumberFormat="1" applyFont="1" applyFill="1" applyAlignment="1">
      <alignment horizontal="left" vertical="center" wrapText="1"/>
    </xf>
    <xf numFmtId="0" fontId="27" fillId="12" borderId="0" xfId="0" applyFont="1" applyFill="1" applyAlignment="1">
      <alignment horizontal="right" vertical="center" wrapText="1"/>
    </xf>
    <xf numFmtId="0" fontId="0" fillId="12" borderId="0" xfId="0" applyFill="1" applyAlignment="1">
      <alignment horizontal="right" wrapText="1"/>
    </xf>
    <xf numFmtId="0" fontId="39" fillId="12" borderId="0" xfId="0" applyFont="1" applyFill="1" applyAlignment="1">
      <alignment horizontal="left" vertical="center" wrapText="1"/>
    </xf>
    <xf numFmtId="0" fontId="37" fillId="12" borderId="0" xfId="0" applyFont="1" applyFill="1" applyAlignment="1">
      <alignment wrapText="1"/>
    </xf>
    <xf numFmtId="0" fontId="0" fillId="11" borderId="0" xfId="0" applyFill="1" applyAlignment="1">
      <alignment horizontal="right" wrapText="1"/>
    </xf>
    <xf numFmtId="0" fontId="37" fillId="11" borderId="0" xfId="0" applyFont="1" applyFill="1" applyAlignment="1">
      <alignment wrapText="1"/>
    </xf>
    <xf numFmtId="0" fontId="27" fillId="12" borderId="0" xfId="0" applyFont="1" applyFill="1" applyAlignment="1">
      <alignment horizontal="right"/>
    </xf>
    <xf numFmtId="0" fontId="61" fillId="12" borderId="0" xfId="1" applyFont="1" applyFill="1" applyBorder="1" applyAlignment="1">
      <alignment horizontal="left" vertical="center"/>
    </xf>
    <xf numFmtId="0" fontId="32" fillId="11" borderId="0" xfId="0" applyFont="1" applyFill="1" applyAlignment="1">
      <alignment horizontal="left" wrapText="1"/>
    </xf>
    <xf numFmtId="0" fontId="0" fillId="12" borderId="0" xfId="0" applyFill="1" applyAlignment="1">
      <alignment horizontal="left" vertical="center" wrapText="1"/>
    </xf>
    <xf numFmtId="0" fontId="27" fillId="11" borderId="0" xfId="0" applyFont="1" applyFill="1" applyAlignment="1">
      <alignment horizontal="right"/>
    </xf>
    <xf numFmtId="0" fontId="0" fillId="12" borderId="0" xfId="0" applyFill="1" applyAlignment="1">
      <alignment horizontal="right" vertical="center" wrapText="1"/>
    </xf>
    <xf numFmtId="168" fontId="39" fillId="12" borderId="0" xfId="0" applyNumberFormat="1" applyFont="1" applyFill="1" applyAlignment="1">
      <alignment horizontal="left" vertical="center" wrapText="1"/>
    </xf>
    <xf numFmtId="168" fontId="0" fillId="12" borderId="0" xfId="0" applyNumberFormat="1" applyFill="1" applyAlignment="1">
      <alignment horizontal="left" vertical="center" wrapText="1"/>
    </xf>
    <xf numFmtId="0" fontId="39" fillId="12" borderId="0" xfId="1" applyFont="1" applyFill="1" applyBorder="1" applyAlignment="1">
      <alignment horizontal="left" vertical="center"/>
    </xf>
    <xf numFmtId="0" fontId="37" fillId="12" borderId="0" xfId="0" applyFont="1" applyFill="1" applyAlignment="1">
      <alignment horizontal="left" vertical="center"/>
    </xf>
    <xf numFmtId="0" fontId="27" fillId="12" borderId="12" xfId="0" applyFont="1" applyFill="1" applyBorder="1" applyAlignment="1">
      <alignment horizontal="right" vertical="center"/>
    </xf>
    <xf numFmtId="0" fontId="0" fillId="12" borderId="0" xfId="0" applyFill="1" applyAlignment="1">
      <alignment vertical="center"/>
    </xf>
    <xf numFmtId="0" fontId="27" fillId="12" borderId="0" xfId="0" applyFont="1" applyFill="1" applyAlignment="1">
      <alignment horizontal="right" vertical="center"/>
    </xf>
    <xf numFmtId="1" fontId="39" fillId="12" borderId="0" xfId="0" applyNumberFormat="1" applyFont="1" applyFill="1" applyAlignment="1">
      <alignment horizontal="left" vertical="center" wrapText="1"/>
    </xf>
    <xf numFmtId="1" fontId="0" fillId="12" borderId="0" xfId="0" applyNumberFormat="1" applyFill="1" applyAlignment="1">
      <alignment horizontal="left" vertical="center" wrapText="1"/>
    </xf>
    <xf numFmtId="0" fontId="0" fillId="0" borderId="0" xfId="0" applyAlignment="1"/>
    <xf numFmtId="0" fontId="67" fillId="14" borderId="0" xfId="0" applyFont="1" applyFill="1" applyAlignment="1"/>
    <xf numFmtId="0" fontId="68" fillId="14" borderId="0" xfId="0" applyFont="1" applyFill="1" applyAlignment="1"/>
    <xf numFmtId="0" fontId="23" fillId="6" borderId="0" xfId="0" applyFont="1" applyFill="1" applyAlignment="1"/>
    <xf numFmtId="0" fontId="0" fillId="6" borderId="0" xfId="0" applyFill="1" applyAlignment="1"/>
    <xf numFmtId="0" fontId="23" fillId="7" borderId="0" xfId="0" applyFont="1" applyFill="1" applyAlignment="1"/>
    <xf numFmtId="0" fontId="0" fillId="7" borderId="0" xfId="0" applyFill="1" applyAlignment="1"/>
    <xf numFmtId="0" fontId="10" fillId="0" borderId="3" xfId="0" applyFont="1" applyBorder="1" applyAlignment="1"/>
    <xf numFmtId="0" fontId="10" fillId="0" borderId="6" xfId="0" applyFont="1" applyBorder="1" applyAlignment="1"/>
    <xf numFmtId="0" fontId="0" fillId="0" borderId="28" xfId="0" applyBorder="1" applyAlignment="1"/>
    <xf numFmtId="0" fontId="27" fillId="0" borderId="0" xfId="0" applyFont="1" applyAlignment="1"/>
    <xf numFmtId="0" fontId="69" fillId="0" borderId="0" xfId="0" applyFont="1" applyAlignment="1" applyProtection="1">
      <protection locked="0"/>
    </xf>
    <xf numFmtId="0" fontId="23" fillId="0" borderId="0" xfId="0" applyFont="1" applyAlignment="1"/>
    <xf numFmtId="0" fontId="25" fillId="0" borderId="0" xfId="0" applyFont="1" applyAlignment="1" applyProtection="1">
      <protection locked="0"/>
    </xf>
    <xf numFmtId="168" fontId="25" fillId="0" borderId="0" xfId="0" applyNumberFormat="1" applyFont="1" applyAlignment="1" applyProtection="1">
      <protection locked="0"/>
    </xf>
    <xf numFmtId="168" fontId="0" fillId="0" borderId="0" xfId="0" applyNumberFormat="1" applyAlignment="1" applyProtection="1">
      <protection locked="0"/>
    </xf>
    <xf numFmtId="168" fontId="23" fillId="0" borderId="18" xfId="0" applyNumberFormat="1" applyFont="1" applyBorder="1" applyAlignment="1"/>
    <xf numFmtId="0" fontId="0" fillId="0" borderId="18" xfId="0" applyBorder="1" applyAlignment="1"/>
    <xf numFmtId="168" fontId="23" fillId="0" borderId="8" xfId="0" applyNumberFormat="1" applyFont="1" applyBorder="1" applyAlignment="1"/>
    <xf numFmtId="0" fontId="0" fillId="0" borderId="8" xfId="0" applyBorder="1" applyAlignment="1"/>
    <xf numFmtId="0" fontId="27" fillId="8" borderId="18" xfId="0" applyFont="1" applyFill="1" applyBorder="1" applyAlignment="1"/>
    <xf numFmtId="0" fontId="0" fillId="8" borderId="18" xfId="0" applyFill="1" applyBorder="1" applyAlignment="1"/>
    <xf numFmtId="0" fontId="0" fillId="8" borderId="0" xfId="0" applyFill="1" applyAlignment="1"/>
    <xf numFmtId="0" fontId="35" fillId="0" borderId="0" xfId="0" applyFont="1" applyAlignment="1"/>
    <xf numFmtId="0" fontId="69" fillId="8" borderId="10" xfId="0" applyFont="1" applyFill="1" applyBorder="1" applyAlignment="1"/>
    <xf numFmtId="0" fontId="69" fillId="8" borderId="0" xfId="0" applyFont="1" applyFill="1" applyAlignment="1"/>
    <xf numFmtId="0" fontId="0" fillId="8" borderId="11" xfId="0" applyFill="1" applyBorder="1" applyAlignment="1"/>
    <xf numFmtId="0" fontId="80" fillId="8" borderId="0" xfId="0" applyFont="1" applyFill="1" applyAlignment="1"/>
    <xf numFmtId="0" fontId="32" fillId="0" borderId="14" xfId="0" applyFont="1" applyBorder="1" applyAlignment="1"/>
    <xf numFmtId="0" fontId="38" fillId="0" borderId="14" xfId="0" applyFont="1" applyBorder="1" applyAlignment="1"/>
    <xf numFmtId="0" fontId="32" fillId="0" borderId="6" xfId="0" applyFont="1" applyBorder="1" applyAlignment="1"/>
    <xf numFmtId="0" fontId="0" fillId="0" borderId="7" xfId="0" applyBorder="1" applyAlignment="1"/>
    <xf numFmtId="0" fontId="80" fillId="8" borderId="12" xfId="0" applyFont="1" applyFill="1" applyBorder="1" applyAlignment="1"/>
    <xf numFmtId="0" fontId="34" fillId="8" borderId="0" xfId="0" applyFont="1" applyFill="1" applyAlignment="1"/>
    <xf numFmtId="0" fontId="0" fillId="8" borderId="13" xfId="0" applyFill="1" applyBorder="1" applyAlignment="1"/>
    <xf numFmtId="168" fontId="0" fillId="0" borderId="0" xfId="0" applyNumberFormat="1" applyAlignment="1"/>
    <xf numFmtId="0" fontId="38" fillId="0" borderId="12" xfId="0" applyFont="1" applyBorder="1" applyAlignment="1"/>
    <xf numFmtId="0" fontId="38" fillId="0" borderId="18" xfId="0" applyFont="1" applyBorder="1" applyAlignment="1"/>
    <xf numFmtId="0" fontId="0" fillId="0" borderId="11" xfId="0" applyBorder="1" applyAlignment="1"/>
    <xf numFmtId="0" fontId="0" fillId="0" borderId="13" xfId="0" applyBorder="1" applyAlignment="1"/>
    <xf numFmtId="0" fontId="0" fillId="0" borderId="19" xfId="0" applyBorder="1" applyAlignment="1"/>
    <xf numFmtId="167" fontId="38" fillId="0" borderId="10" xfId="0" applyNumberFormat="1" applyFont="1" applyBorder="1" applyAlignment="1" applyProtection="1">
      <protection locked="0"/>
    </xf>
    <xf numFmtId="167" fontId="38" fillId="0" borderId="11" xfId="0" applyNumberFormat="1" applyFont="1" applyBorder="1" applyAlignment="1" applyProtection="1">
      <protection locked="0"/>
    </xf>
    <xf numFmtId="0" fontId="46" fillId="8" borderId="0" xfId="0" applyFont="1" applyFill="1" applyAlignment="1"/>
    <xf numFmtId="0" fontId="45" fillId="10" borderId="0" xfId="0" applyFont="1" applyFill="1" applyAlignment="1"/>
    <xf numFmtId="0" fontId="45" fillId="9" borderId="0" xfId="0" applyFont="1" applyFill="1" applyAlignment="1"/>
    <xf numFmtId="0" fontId="110" fillId="8" borderId="0" xfId="0" applyFont="1" applyFill="1" applyAlignment="1"/>
    <xf numFmtId="0" fontId="110" fillId="8" borderId="0" xfId="0" quotePrefix="1" applyFont="1" applyFill="1" applyAlignment="1"/>
    <xf numFmtId="0" fontId="111" fillId="8" borderId="0" xfId="0" applyFont="1" applyFill="1" applyAlignment="1"/>
    <xf numFmtId="0" fontId="119" fillId="0" borderId="39" xfId="0" applyFont="1" applyBorder="1" applyAlignment="1"/>
    <xf numFmtId="0" fontId="119" fillId="0" borderId="40" xfId="0" applyFont="1" applyBorder="1" applyAlignment="1"/>
    <xf numFmtId="167" fontId="109" fillId="0" borderId="39" xfId="0" applyNumberFormat="1" applyFont="1" applyBorder="1" applyAlignment="1" applyProtection="1">
      <protection locked="0"/>
    </xf>
    <xf numFmtId="167" fontId="109" fillId="0" borderId="40" xfId="0" applyNumberFormat="1" applyFont="1" applyBorder="1" applyAlignment="1" applyProtection="1">
      <protection locked="0"/>
    </xf>
    <xf numFmtId="0" fontId="0" fillId="11" borderId="0" xfId="0" applyFill="1" applyAlignment="1"/>
    <xf numFmtId="0" fontId="0" fillId="11" borderId="13" xfId="0" applyFill="1" applyBorder="1" applyAlignment="1"/>
    <xf numFmtId="0" fontId="0" fillId="12" borderId="0" xfId="0" applyFill="1" applyAlignment="1"/>
  </cellXfs>
  <cellStyles count="10">
    <cellStyle name="Currency 2" xfId="6" xr:uid="{00000000-0005-0000-0000-000000000000}"/>
    <cellStyle name="Currency_Intranet prices" xfId="8" xr:uid="{00000000-0005-0000-0000-000001000000}"/>
    <cellStyle name="Currency_Intranet prices 2" xfId="9" xr:uid="{9A2A3D57-DA3F-4500-BF98-3FFCF716362C}"/>
    <cellStyle name="Hyperlink" xfId="1" builtinId="8"/>
    <cellStyle name="Normal" xfId="0" builtinId="0"/>
    <cellStyle name="Normal 2" xfId="4" xr:uid="{00000000-0005-0000-0000-000004000000}"/>
    <cellStyle name="Normal 3" xfId="7" xr:uid="{00000000-0005-0000-0000-000005000000}"/>
    <cellStyle name="Normal_Intranet prices" xfId="2" xr:uid="{00000000-0005-0000-0000-000006000000}"/>
    <cellStyle name="Normal_IW Charges Calculator 2009-20010 rates" xfId="3" xr:uid="{00000000-0005-0000-0000-000007000000}"/>
    <cellStyle name="Normal_IW Charges Calculator 2009-20010 rates 2" xfId="5" xr:uid="{00000000-0005-0000-0000-000008000000}"/>
  </cellStyles>
  <dxfs count="964">
    <dxf>
      <fill>
        <patternFill>
          <bgColor rgb="FFFFC000"/>
        </patternFill>
      </fill>
    </dxf>
    <dxf>
      <fill>
        <patternFill>
          <bgColor rgb="FFFFC000"/>
        </patternFill>
      </fill>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FF0000"/>
      </font>
    </dxf>
    <dxf>
      <fill>
        <patternFill>
          <bgColor rgb="FFFFFF00"/>
        </patternFill>
      </fill>
    </dxf>
    <dxf>
      <fill>
        <patternFill>
          <bgColor rgb="FFFFFF00"/>
        </patternFill>
      </fill>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FF0000"/>
      </font>
      <fill>
        <patternFill>
          <bgColor rgb="FFFFFF00"/>
        </patternFill>
      </fill>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ill>
        <patternFill>
          <bgColor rgb="FFFFFF00"/>
        </patternFill>
      </fill>
    </dxf>
    <dxf>
      <fill>
        <patternFill>
          <bgColor theme="0"/>
        </patternFill>
      </fill>
    </dxf>
    <dxf>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dxf>
    <dxf>
      <font>
        <b/>
        <i val="0"/>
        <color rgb="FFFFFF00"/>
      </font>
      <fill>
        <patternFill>
          <bgColor rgb="FFFF0000"/>
        </patternFill>
      </fill>
    </dxf>
    <dxf>
      <font>
        <color rgb="FFFF0000"/>
      </font>
    </dxf>
    <dxf>
      <font>
        <b/>
        <i val="0"/>
        <color rgb="FF00B050"/>
      </font>
    </dxf>
    <dxf>
      <font>
        <b/>
        <i val="0"/>
        <color rgb="FFFF0000"/>
      </font>
      <fill>
        <patternFill>
          <bgColor rgb="FFFFFF00"/>
        </patternFill>
      </fill>
    </dxf>
    <dxf>
      <fill>
        <patternFill patternType="solid">
          <bgColor theme="0" tint="-0.34998626667073579"/>
        </patternFill>
      </fill>
    </dxf>
    <dxf>
      <fill>
        <patternFill>
          <bgColor rgb="FFFFFF00"/>
        </patternFill>
      </fill>
    </dxf>
    <dxf>
      <font>
        <color rgb="FFFF0000"/>
      </font>
      <fill>
        <patternFill patternType="solid">
          <bgColor rgb="FFFFFF00"/>
        </patternFill>
      </fill>
    </dxf>
    <dxf>
      <font>
        <color rgb="FFFF0000"/>
      </font>
      <fill>
        <patternFill patternType="solid">
          <bgColor rgb="FFFFFF00"/>
        </patternFill>
      </fill>
    </dxf>
    <dxf>
      <font>
        <color rgb="FFFF0000"/>
      </font>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3333FF"/>
      </font>
    </dxf>
    <dxf>
      <fill>
        <patternFill patternType="none">
          <bgColor auto="1"/>
        </patternFill>
      </fill>
    </dxf>
    <dxf>
      <font>
        <color rgb="FF3333FF"/>
      </font>
    </dxf>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val="0"/>
        <color rgb="FF3333FF"/>
      </font>
      <fill>
        <patternFill>
          <bgColor theme="0" tint="-0.14996795556505021"/>
        </patternFill>
      </fill>
    </dxf>
    <dxf>
      <fill>
        <patternFill>
          <bgColor theme="0" tint="-0.14996795556505021"/>
        </patternFill>
      </fill>
    </dxf>
    <dxf>
      <font>
        <color auto="1"/>
      </font>
    </dxf>
    <dxf>
      <font>
        <color auto="1"/>
      </font>
    </dxf>
    <dxf>
      <font>
        <color auto="1"/>
      </font>
    </dxf>
    <dxf>
      <font>
        <color auto="1"/>
      </font>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0" indent="0" justifyLastLine="0" shrinkToFit="0" readingOrder="0"/>
    </dxf>
    <dxf>
      <alignment horizontal="center" vertical="top" textRotation="0" wrapText="1"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indexed="65"/>
        </patternFill>
      </fill>
      <alignment horizontal="center" vertical="center" textRotation="0" wrapText="0" indent="0" justifyLastLine="0" shrinkToFit="0" readingOrder="0"/>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rgb="FFFFFF00"/>
      </font>
      <fill>
        <patternFill>
          <bgColor rgb="FF00B050"/>
        </patternFill>
      </fill>
    </dxf>
    <dxf>
      <font>
        <b/>
        <i val="0"/>
        <color rgb="FFFFFF00"/>
      </font>
      <fill>
        <patternFill>
          <bgColor rgb="FFFF000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00B050"/>
        </patternFill>
      </fill>
    </dxf>
    <dxf>
      <fill>
        <patternFill>
          <bgColor rgb="FFFF0000"/>
        </patternFill>
      </fill>
    </dxf>
    <dxf>
      <fill>
        <patternFill>
          <bgColor rgb="FF00B050"/>
        </patternFill>
      </fill>
    </dxf>
    <dxf>
      <fill>
        <patternFill>
          <bgColor rgb="FFFF000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rgb="FF00B050"/>
      </font>
    </dxf>
    <dxf>
      <font>
        <b/>
        <i val="0"/>
        <color theme="1"/>
      </font>
    </dxf>
    <dxf>
      <font>
        <b/>
        <i val="0"/>
        <color rgb="FFFF0000"/>
      </font>
    </dxf>
    <dxf>
      <font>
        <b/>
        <i val="0"/>
        <color rgb="FF92D050"/>
      </font>
    </dxf>
    <dxf>
      <font>
        <b/>
        <i val="0"/>
        <color rgb="FFFFC000"/>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b/>
        <i val="0"/>
        <color rgb="FF00B050"/>
      </font>
    </dxf>
    <dxf>
      <font>
        <b/>
        <i val="0"/>
        <color rgb="FFFF0000"/>
      </font>
    </dxf>
    <dxf>
      <font>
        <color rgb="FF92D050"/>
      </font>
    </dxf>
    <dxf>
      <font>
        <b/>
        <i val="0"/>
        <color rgb="FFFFC000"/>
      </font>
    </dxf>
    <dxf>
      <font>
        <b/>
        <i val="0"/>
        <color rgb="FF00B050"/>
      </font>
    </dxf>
    <dxf>
      <font>
        <b/>
        <i val="0"/>
        <color rgb="FFFF0000"/>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ill>
        <patternFill>
          <bgColor rgb="FFFF0000"/>
        </patternFill>
      </fill>
    </dxf>
    <dxf>
      <fill>
        <patternFill>
          <bgColor rgb="FF00B050"/>
        </patternFill>
      </fill>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ont>
        <b/>
        <i val="0"/>
        <color auto="1"/>
      </font>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color auto="1"/>
      </font>
      <fill>
        <patternFill>
          <bgColor theme="0"/>
        </patternFill>
      </fill>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ill>
        <patternFill>
          <bgColor rgb="FFFFFF00"/>
        </patternFill>
      </fill>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ill>
        <patternFill>
          <bgColor rgb="FFFFFF00"/>
        </patternFill>
      </fill>
    </dxf>
    <dxf>
      <font>
        <color rgb="FF3333FF"/>
      </font>
    </dxf>
    <dxf>
      <fill>
        <patternFill>
          <bgColor rgb="FFFFFF00"/>
        </patternFill>
      </fill>
    </dxf>
    <dxf>
      <font>
        <color rgb="FF3333FF"/>
      </font>
    </dxf>
    <dxf>
      <fill>
        <patternFill>
          <bgColor rgb="FFFFFF00"/>
        </patternFill>
      </fill>
    </dxf>
    <dxf>
      <font>
        <color rgb="FF3333FF"/>
      </font>
    </dxf>
    <dxf>
      <fill>
        <patternFill>
          <bgColor rgb="FFFFFF00"/>
        </patternFill>
      </fill>
    </dxf>
    <dxf>
      <font>
        <color rgb="FF3333FF"/>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FFFF00"/>
      </font>
      <fill>
        <patternFill>
          <bgColor rgb="FF00B050"/>
        </patternFill>
      </fill>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FFFF00"/>
      </font>
      <fill>
        <patternFill>
          <bgColor rgb="FF00B050"/>
        </patternFill>
      </fill>
    </dxf>
    <dxf>
      <font>
        <b/>
        <i val="0"/>
        <color rgb="FFFFFF00"/>
      </font>
      <fill>
        <patternFill>
          <bgColor rgb="FFFF0000"/>
        </patternFill>
      </fill>
    </dxf>
    <dxf>
      <font>
        <b/>
        <i val="0"/>
        <color rgb="FFFF0000"/>
      </font>
    </dxf>
    <dxf>
      <font>
        <b/>
        <i val="0"/>
        <color rgb="FFFF0000"/>
      </font>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FFFF00"/>
      </font>
      <fill>
        <patternFill>
          <bgColor rgb="FF00B050"/>
        </patternFill>
      </fill>
    </dxf>
    <dxf>
      <font>
        <b/>
        <i val="0"/>
        <color rgb="FFFFFF00"/>
      </font>
      <fill>
        <patternFill>
          <bgColor rgb="FFFF0000"/>
        </patternFill>
      </fill>
    </dxf>
    <dxf>
      <font>
        <color rgb="FFFF0000"/>
      </font>
    </dxf>
    <dxf>
      <font>
        <color rgb="FFFF0000"/>
      </font>
    </dxf>
    <dxf>
      <font>
        <color rgb="FFFF0000"/>
      </font>
    </dxf>
    <dxf>
      <font>
        <color rgb="FF00B050"/>
      </font>
    </dxf>
    <dxf>
      <font>
        <color rgb="FF00B050"/>
      </font>
    </dxf>
    <dxf>
      <font>
        <b/>
        <i val="0"/>
        <color rgb="FFFFFF00"/>
      </font>
      <fill>
        <patternFill>
          <bgColor rgb="FF00B050"/>
        </patternFill>
      </fill>
    </dxf>
    <dxf>
      <font>
        <b/>
        <i val="0"/>
        <color rgb="FF00B050"/>
      </font>
    </dxf>
    <dxf>
      <font>
        <b/>
        <i val="0"/>
        <color rgb="FFFF000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b/>
        <i val="0"/>
        <color rgb="FFFFFF00"/>
      </font>
      <fill>
        <patternFill>
          <bgColor rgb="FF00B050"/>
        </patternFill>
      </fill>
    </dxf>
    <dxf>
      <font>
        <b/>
        <i val="0"/>
        <color rgb="FFFFFF00"/>
      </font>
      <fill>
        <patternFill>
          <bgColor rgb="FFFF0000"/>
        </patternFill>
      </fill>
    </dxf>
    <dxf>
      <font>
        <b/>
        <i val="0"/>
        <color rgb="FF00B050"/>
      </font>
    </dxf>
    <dxf>
      <font>
        <b/>
        <i val="0"/>
        <color auto="1"/>
      </font>
    </dxf>
    <dxf>
      <font>
        <b/>
        <i val="0"/>
        <color rgb="FFFF0000"/>
      </font>
    </dxf>
    <dxf>
      <font>
        <b/>
        <i val="0"/>
        <color rgb="FF92D050"/>
      </font>
    </dxf>
    <dxf>
      <font>
        <b/>
        <i val="0"/>
        <color rgb="FFFFC000"/>
      </font>
    </dxf>
    <dxf>
      <font>
        <b val="0"/>
        <i val="0"/>
        <color rgb="FF00B050"/>
      </font>
    </dxf>
    <dxf>
      <font>
        <b/>
        <i val="0"/>
        <color rgb="FFFF0000"/>
      </font>
    </dxf>
    <dxf>
      <font>
        <color rgb="FFFF0000"/>
      </font>
    </dxf>
    <dxf>
      <font>
        <b/>
        <i val="0"/>
        <color rgb="FF00B050"/>
      </font>
    </dxf>
    <dxf>
      <font>
        <b/>
        <i val="0"/>
        <color rgb="FFFF0000"/>
      </font>
    </dxf>
    <dxf>
      <font>
        <b/>
        <i val="0"/>
        <color rgb="FFFF0000"/>
      </font>
    </dxf>
    <dxf>
      <font>
        <color rgb="FFFF0000"/>
      </font>
    </dxf>
    <dxf>
      <font>
        <color rgb="FFFF0000"/>
      </font>
    </dxf>
    <dxf>
      <font>
        <color rgb="FF00B050"/>
      </font>
    </dxf>
    <dxf>
      <font>
        <color rgb="FF00B050"/>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border>
        <left/>
        <right/>
        <top/>
        <bottom style="thin">
          <color auto="1"/>
        </bottom>
        <vertical/>
        <horizontal/>
      </border>
    </dxf>
    <dxf>
      <font>
        <color rgb="FFFF0000"/>
      </font>
    </dxf>
    <dxf>
      <font>
        <color theme="0"/>
      </font>
    </dxf>
    <dxf>
      <border>
        <left/>
        <right/>
        <top/>
        <bottom/>
        <vertical/>
        <horizontal/>
      </border>
    </dxf>
    <dxf>
      <border>
        <left/>
        <right/>
        <top style="thin">
          <color auto="1"/>
        </top>
        <bottom/>
        <vertical/>
        <horizontal/>
      </border>
    </dxf>
    <dxf>
      <border>
        <left/>
        <right/>
        <top style="thin">
          <color auto="1"/>
        </top>
        <bottom style="thin">
          <color auto="1"/>
        </bottom>
        <vertical/>
        <horizontal/>
      </border>
    </dxf>
    <dxf>
      <font>
        <color theme="0"/>
      </font>
    </dxf>
    <dxf>
      <font>
        <color theme="0"/>
      </font>
    </dxf>
    <dxf>
      <font>
        <color theme="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rgb="FFFFFF00"/>
        </patternFill>
      </fill>
    </dxf>
    <dxf>
      <font>
        <color rgb="FFFF0000"/>
      </font>
    </dxf>
    <dxf>
      <font>
        <color rgb="FFFF0000"/>
      </font>
    </dxf>
    <dxf>
      <font>
        <color rgb="FFCCFFCC"/>
      </font>
    </dxf>
    <dxf>
      <font>
        <color rgb="FFCCFFCC"/>
      </font>
    </dxf>
    <dxf>
      <font>
        <b/>
        <i val="0"/>
        <color rgb="FFFF0000"/>
      </font>
      <fill>
        <patternFill>
          <bgColor rgb="FFFFFF00"/>
        </patternFill>
      </fill>
    </dxf>
    <dxf>
      <font>
        <color rgb="FFCCECFF"/>
      </font>
    </dxf>
    <dxf>
      <font>
        <color rgb="FFCCECFF"/>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CCECFF"/>
      </font>
      <fill>
        <patternFill>
          <bgColor rgb="FFCCECFF"/>
        </patternFill>
      </fill>
    </dxf>
    <dxf>
      <font>
        <b/>
        <i val="0"/>
        <color rgb="FFFF0000"/>
      </font>
      <fill>
        <patternFill>
          <bgColor rgb="FFFFFF00"/>
        </patternFill>
      </fill>
    </dxf>
    <dxf>
      <fill>
        <patternFill>
          <bgColor rgb="FFCCFFCC"/>
        </patternFill>
      </fill>
    </dxf>
    <dxf>
      <fill>
        <patternFill>
          <bgColor rgb="FFCCECFF"/>
        </patternFill>
      </fill>
    </dxf>
    <dxf>
      <font>
        <b/>
        <i val="0"/>
        <color rgb="FF00B050"/>
      </font>
    </dxf>
    <dxf>
      <font>
        <b/>
        <i val="0"/>
        <color rgb="FFFF0000"/>
      </font>
    </dxf>
    <dxf>
      <font>
        <b/>
        <i val="0"/>
        <color rgb="FFFFFF0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color rgb="FFFF0000"/>
      </font>
    </dxf>
    <dxf>
      <font>
        <b/>
        <i val="0"/>
        <color rgb="FFFFFF0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color rgb="FFFFFF00"/>
      </font>
      <fill>
        <patternFill>
          <bgColor rgb="FFFF0000"/>
        </patternFill>
      </fill>
    </dxf>
    <dxf>
      <font>
        <b/>
        <i val="0"/>
        <color rgb="FFFFFF00"/>
      </font>
      <fill>
        <patternFill>
          <bgColor rgb="FF00B050"/>
        </patternFill>
      </fill>
    </dxf>
    <dxf>
      <font>
        <b/>
        <i val="0"/>
        <color rgb="FFFF0000"/>
      </font>
    </dxf>
    <dxf>
      <font>
        <b/>
        <i val="0"/>
        <color rgb="FFFFFF00"/>
      </font>
      <fill>
        <patternFill>
          <bgColor rgb="FFFF0000"/>
        </patternFill>
      </fill>
    </dxf>
    <dxf>
      <font>
        <b/>
        <i val="0"/>
        <color rgb="FFFFFF00"/>
      </font>
      <fill>
        <patternFill>
          <bgColor rgb="FF00B050"/>
        </patternFill>
      </fill>
    </dxf>
  </dxfs>
  <tableStyles count="0" defaultTableStyle="TableStyleMedium2" defaultPivotStyle="PivotStyleLight16"/>
  <colors>
    <mruColors>
      <color rgb="FF000000"/>
      <color rgb="FF084976"/>
      <color rgb="FF3333FF"/>
      <color rgb="FF4D4D4D"/>
      <color rgb="FF0070C0"/>
      <color rgb="FFFFFFCC"/>
      <color rgb="FFCCFFFF"/>
      <color rgb="FFB7DEE8"/>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5</xdr:row>
          <xdr:rowOff>7620</xdr:rowOff>
        </xdr:from>
        <xdr:to>
          <xdr:col>19</xdr:col>
          <xdr:colOff>3810</xdr:colOff>
          <xdr:row>5</xdr:row>
          <xdr:rowOff>213360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8</xdr:row>
          <xdr:rowOff>7620</xdr:rowOff>
        </xdr:from>
        <xdr:to>
          <xdr:col>27</xdr:col>
          <xdr:colOff>236220</xdr:colOff>
          <xdr:row>8</xdr:row>
          <xdr:rowOff>213360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51</xdr:row>
          <xdr:rowOff>60960</xdr:rowOff>
        </xdr:from>
        <xdr:to>
          <xdr:col>24</xdr:col>
          <xdr:colOff>30480</xdr:colOff>
          <xdr:row>51</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51</xdr:row>
          <xdr:rowOff>60960</xdr:rowOff>
        </xdr:from>
        <xdr:to>
          <xdr:col>26</xdr:col>
          <xdr:colOff>228600</xdr:colOff>
          <xdr:row>51</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52</xdr:row>
          <xdr:rowOff>60960</xdr:rowOff>
        </xdr:from>
        <xdr:to>
          <xdr:col>24</xdr:col>
          <xdr:colOff>30480</xdr:colOff>
          <xdr:row>52</xdr:row>
          <xdr:rowOff>266700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52</xdr:row>
          <xdr:rowOff>60960</xdr:rowOff>
        </xdr:from>
        <xdr:to>
          <xdr:col>26</xdr:col>
          <xdr:colOff>228600</xdr:colOff>
          <xdr:row>52</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53</xdr:row>
          <xdr:rowOff>60960</xdr:rowOff>
        </xdr:from>
        <xdr:to>
          <xdr:col>24</xdr:col>
          <xdr:colOff>30480</xdr:colOff>
          <xdr:row>53</xdr:row>
          <xdr:rowOff>266700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53</xdr:row>
          <xdr:rowOff>60960</xdr:rowOff>
        </xdr:from>
        <xdr:to>
          <xdr:col>26</xdr:col>
          <xdr:colOff>228600</xdr:colOff>
          <xdr:row>53</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54</xdr:row>
          <xdr:rowOff>60960</xdr:rowOff>
        </xdr:from>
        <xdr:to>
          <xdr:col>24</xdr:col>
          <xdr:colOff>30480</xdr:colOff>
          <xdr:row>54</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54</xdr:row>
          <xdr:rowOff>60960</xdr:rowOff>
        </xdr:from>
        <xdr:to>
          <xdr:col>26</xdr:col>
          <xdr:colOff>228600</xdr:colOff>
          <xdr:row>54</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55</xdr:row>
          <xdr:rowOff>60960</xdr:rowOff>
        </xdr:from>
        <xdr:to>
          <xdr:col>24</xdr:col>
          <xdr:colOff>30480</xdr:colOff>
          <xdr:row>55</xdr:row>
          <xdr:rowOff>266700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55</xdr:row>
          <xdr:rowOff>60960</xdr:rowOff>
        </xdr:from>
        <xdr:to>
          <xdr:col>26</xdr:col>
          <xdr:colOff>228600</xdr:colOff>
          <xdr:row>55</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56</xdr:row>
          <xdr:rowOff>60960</xdr:rowOff>
        </xdr:from>
        <xdr:to>
          <xdr:col>24</xdr:col>
          <xdr:colOff>30480</xdr:colOff>
          <xdr:row>56</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56</xdr:row>
          <xdr:rowOff>60960</xdr:rowOff>
        </xdr:from>
        <xdr:to>
          <xdr:col>26</xdr:col>
          <xdr:colOff>228600</xdr:colOff>
          <xdr:row>56</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57</xdr:row>
          <xdr:rowOff>60960</xdr:rowOff>
        </xdr:from>
        <xdr:to>
          <xdr:col>24</xdr:col>
          <xdr:colOff>30480</xdr:colOff>
          <xdr:row>57</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57</xdr:row>
          <xdr:rowOff>60960</xdr:rowOff>
        </xdr:from>
        <xdr:to>
          <xdr:col>26</xdr:col>
          <xdr:colOff>228600</xdr:colOff>
          <xdr:row>57</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7</xdr:row>
          <xdr:rowOff>0</xdr:rowOff>
        </xdr:from>
        <xdr:to>
          <xdr:col>26</xdr:col>
          <xdr:colOff>60960</xdr:colOff>
          <xdr:row>7</xdr:row>
          <xdr:rowOff>198120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6</xdr:row>
          <xdr:rowOff>7620</xdr:rowOff>
        </xdr:from>
        <xdr:to>
          <xdr:col>23</xdr:col>
          <xdr:colOff>83820</xdr:colOff>
          <xdr:row>6</xdr:row>
          <xdr:rowOff>213360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106680</xdr:colOff>
          <xdr:row>50</xdr:row>
          <xdr:rowOff>60960</xdr:rowOff>
        </xdr:from>
        <xdr:to>
          <xdr:col>24</xdr:col>
          <xdr:colOff>30480</xdr:colOff>
          <xdr:row>51</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50</xdr:row>
          <xdr:rowOff>60960</xdr:rowOff>
        </xdr:from>
        <xdr:to>
          <xdr:col>26</xdr:col>
          <xdr:colOff>228600</xdr:colOff>
          <xdr:row>51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86</xdr:row>
      <xdr:rowOff>141695</xdr:rowOff>
    </xdr:from>
    <xdr:to>
      <xdr:col>19</xdr:col>
      <xdr:colOff>195263</xdr:colOff>
      <xdr:row>143</xdr:row>
      <xdr:rowOff>8290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rot="5400000">
          <a:off x="-2171362" y="22746253"/>
          <a:ext cx="9317051" cy="497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40585</xdr:colOff>
      <xdr:row>23</xdr:row>
      <xdr:rowOff>131693</xdr:rowOff>
    </xdr:from>
    <xdr:to>
      <xdr:col>66</xdr:col>
      <xdr:colOff>22778</xdr:colOff>
      <xdr:row>42</xdr:row>
      <xdr:rowOff>46796</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22960" y="3846443"/>
          <a:ext cx="7125943" cy="3277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RKOVS0/Desktop/A1%20-%20NEXUS/TEST%20-%205.%20Fixing%20REJECTION%20time%20recordings%20for%20KPI%20sheet%20u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tatus"/>
      <sheetName val="2. Application"/>
      <sheetName val="3. Registration"/>
      <sheetName val="4. Panel Member Index"/>
      <sheetName val="5. Review"/>
      <sheetName val="6. RRR"/>
      <sheetName val="7. Expiry Notification"/>
      <sheetName val="(admin) Drop Down Variables"/>
      <sheetName val="2020-2021 unit rates"/>
      <sheetName val="2021-2022 unit rates"/>
    </sheetNames>
    <sheetDataSet>
      <sheetData sheetId="0"/>
      <sheetData sheetId="1"/>
      <sheetData sheetId="2"/>
      <sheetData sheetId="3"/>
      <sheetData sheetId="4"/>
      <sheetData sheetId="5"/>
      <sheetData sheetId="6"/>
      <sheetData sheetId="7">
        <row r="78">
          <cell r="D78" t="str">
            <v>rejected</v>
          </cell>
        </row>
      </sheetData>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D87:I167" totalsRowShown="0">
  <autoFilter ref="D87:I167" xr:uid="{00000000-0009-0000-0100-000001000000}"/>
  <tableColumns count="6">
    <tableColumn id="1" xr3:uid="{00000000-0010-0000-0000-000001000000}" name="Filter me!" dataDxfId="84"/>
    <tableColumn id="2" xr3:uid="{00000000-0010-0000-0000-000002000000}" name="Column1" dataDxfId="83"/>
    <tableColumn id="3" xr3:uid="{00000000-0010-0000-0000-000003000000}" name="Summary reply sent to applicant and then returned by applicant"/>
    <tableColumn id="4" xr3:uid="{00000000-0010-0000-0000-000004000000}" name="Rating"/>
    <tableColumn id="5" xr3:uid="{00000000-0010-0000-0000-000005000000}" name="Status"/>
    <tableColumn id="6" xr3:uid="{00000000-0010-0000-0000-000006000000}" name="Column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D438:H518" totalsRowShown="0">
  <autoFilter ref="D438:H518" xr:uid="{00000000-0009-0000-0100-000002000000}"/>
  <tableColumns count="5">
    <tableColumn id="1" xr3:uid="{00000000-0010-0000-0100-000001000000}" name="Filter me!" dataDxfId="82"/>
    <tableColumn id="2" xr3:uid="{00000000-0010-0000-0100-000002000000}" name="Column1"/>
    <tableColumn id="3" xr3:uid="{00000000-0010-0000-0100-000003000000}" name="Summary reply sent to applicant and then returned by applicant"/>
    <tableColumn id="4" xr3:uid="{00000000-0010-0000-0100-000004000000}" name="Rating"/>
    <tableColumn id="5" xr3:uid="{00000000-0010-0000-0100-000005000000}" name="Status"/>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drawing" Target="../drawings/drawing1.x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2.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tradewaste@watercorporation.com.au"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nexus.watercorporation.com.au/otcs/cs.exe/app/nodes/58979569" TargetMode="External"/><Relationship Id="rId7" Type="http://schemas.openxmlformats.org/officeDocument/2006/relationships/printerSettings" Target="../printerSettings/printerSettings3.bin"/><Relationship Id="rId2" Type="http://schemas.openxmlformats.org/officeDocument/2006/relationships/hyperlink" Target="https://nexus.watercorporation.com.au/otcs/cs.exe/app/nodes/58979569" TargetMode="External"/><Relationship Id="rId1" Type="http://schemas.openxmlformats.org/officeDocument/2006/relationships/hyperlink" Target="https://nexus.watercorporation.com.au/otcs/cs.exe/app/nodes/59816633" TargetMode="External"/><Relationship Id="rId6" Type="http://schemas.openxmlformats.org/officeDocument/2006/relationships/hyperlink" Target="https://nexus.watercorporation.com.au/otcs/cs.exe/app/nodes/58979569" TargetMode="External"/><Relationship Id="rId5" Type="http://schemas.openxmlformats.org/officeDocument/2006/relationships/hyperlink" Target="https://nexus.watercorporation.com.au/otcs/cs.exe/app/nodes/62023096" TargetMode="External"/><Relationship Id="rId4" Type="http://schemas.openxmlformats.org/officeDocument/2006/relationships/hyperlink" Target="https://nexus.watercorporation.com.au/otcs/cs.exe/app/nodes/5894167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https://nexus.watercorporation.com.au/otcs/cs.exe/link/81154757" TargetMode="External"/><Relationship Id="rId18" Type="http://schemas.openxmlformats.org/officeDocument/2006/relationships/hyperlink" Target="https://nexus.watercorporation.com.au/otcs/cs.exe/app/nodes/48969961" TargetMode="External"/><Relationship Id="rId26" Type="http://schemas.openxmlformats.org/officeDocument/2006/relationships/hyperlink" Target="https://nexus.watercorporation.com.au/otcs/cs.exe/link/81155163" TargetMode="External"/><Relationship Id="rId39" Type="http://schemas.openxmlformats.org/officeDocument/2006/relationships/hyperlink" Target="https://nexus.watercorporation.com.au/otcs/cs.exe/app/nodes/150589064" TargetMode="External"/><Relationship Id="rId21" Type="http://schemas.openxmlformats.org/officeDocument/2006/relationships/hyperlink" Target="https://nexus.watercorporation.com.au/otcs/cs.exe/app/nodes/48972003" TargetMode="External"/><Relationship Id="rId34" Type="http://schemas.openxmlformats.org/officeDocument/2006/relationships/hyperlink" Target="https://nexus.watercorporation.com.au/otcs/cs.exe/app/nodes/48972016" TargetMode="External"/><Relationship Id="rId42" Type="http://schemas.openxmlformats.org/officeDocument/2006/relationships/table" Target="../tables/table2.xml"/><Relationship Id="rId7" Type="http://schemas.openxmlformats.org/officeDocument/2006/relationships/hyperlink" Target="https://nexus.watercorporation.com.au/otcs/cs.exe/app/nodes/62020937" TargetMode="External"/><Relationship Id="rId2" Type="http://schemas.openxmlformats.org/officeDocument/2006/relationships/hyperlink" Target="https://nexus.watercorporation.com.au/otcs/cs.exe/link/81220053" TargetMode="External"/><Relationship Id="rId16" Type="http://schemas.openxmlformats.org/officeDocument/2006/relationships/hyperlink" Target="https://nexus.watercorporation.com.au/otcs/cs.exe/app/nodes/48969999" TargetMode="External"/><Relationship Id="rId20" Type="http://schemas.openxmlformats.org/officeDocument/2006/relationships/hyperlink" Target="https://nexus.watercorporation.com.au/otcs/cs.exe/app/nodes/48971002" TargetMode="External"/><Relationship Id="rId29" Type="http://schemas.openxmlformats.org/officeDocument/2006/relationships/hyperlink" Target="https://nexus.watercorporation.com.au/otcs/cs.exe/app/nodes/48968936" TargetMode="External"/><Relationship Id="rId41" Type="http://schemas.openxmlformats.org/officeDocument/2006/relationships/table" Target="../tables/table1.xml"/><Relationship Id="rId1" Type="http://schemas.openxmlformats.org/officeDocument/2006/relationships/hyperlink" Target="https://nexus.watercorporation.com.au/otcs/cs.exe/link/81154757" TargetMode="External"/><Relationship Id="rId6" Type="http://schemas.openxmlformats.org/officeDocument/2006/relationships/hyperlink" Target="https://nexus.watercorporation.com.au/otcs/cs.exe/app/nodes/62020929" TargetMode="External"/><Relationship Id="rId11" Type="http://schemas.openxmlformats.org/officeDocument/2006/relationships/hyperlink" Target="https://nexus.watercorporation.com.au/otcs/cs.exe/app/nodes/62020955" TargetMode="External"/><Relationship Id="rId24" Type="http://schemas.openxmlformats.org/officeDocument/2006/relationships/hyperlink" Target="https://nexus.watercorporation.com.au/otcs/cs.exe/link/58979569" TargetMode="External"/><Relationship Id="rId32" Type="http://schemas.openxmlformats.org/officeDocument/2006/relationships/hyperlink" Target="https://nexus.watercorporation.com.au/otcs/cs.exe/app/nodes/48971002" TargetMode="External"/><Relationship Id="rId37" Type="http://schemas.openxmlformats.org/officeDocument/2006/relationships/hyperlink" Target="https://nexus.watercorporation.com.au/otcs/cs.exe/app/nodes/62020984" TargetMode="External"/><Relationship Id="rId40" Type="http://schemas.openxmlformats.org/officeDocument/2006/relationships/printerSettings" Target="../printerSettings/printerSettings5.bin"/><Relationship Id="rId5" Type="http://schemas.openxmlformats.org/officeDocument/2006/relationships/hyperlink" Target="https://nexus.watercorporation.com.au/otcs/cs.exe/app/nodes/62018225" TargetMode="External"/><Relationship Id="rId15" Type="http://schemas.openxmlformats.org/officeDocument/2006/relationships/hyperlink" Target="https://nexus.watercorporation.com.au/otcs/cs.exe/app/nodes/62020937" TargetMode="External"/><Relationship Id="rId23" Type="http://schemas.openxmlformats.org/officeDocument/2006/relationships/hyperlink" Target="https://nexus.watercorporation.com.au/otcs/cs.exe/link/58979569" TargetMode="External"/><Relationship Id="rId28" Type="http://schemas.openxmlformats.org/officeDocument/2006/relationships/hyperlink" Target="https://nexus.watercorporation.com.au/otcs/cs.exe/app/nodes/48969999" TargetMode="External"/><Relationship Id="rId36" Type="http://schemas.openxmlformats.org/officeDocument/2006/relationships/hyperlink" Target="https://nexus.watercorporation.com.au/otcs/cs.exe/app/nodes/62019043" TargetMode="External"/><Relationship Id="rId10" Type="http://schemas.openxmlformats.org/officeDocument/2006/relationships/hyperlink" Target="https://nexus.watercorporation.com.au/otcs/cs.exe/app/nodes/62020984" TargetMode="External"/><Relationship Id="rId19" Type="http://schemas.openxmlformats.org/officeDocument/2006/relationships/hyperlink" Target="https://nexus.watercorporation.com.au/otcs/cs.exe/app/nodes/48970052" TargetMode="External"/><Relationship Id="rId31" Type="http://schemas.openxmlformats.org/officeDocument/2006/relationships/hyperlink" Target="https://nexus.watercorporation.com.au/otcs/cs.exe/app/nodes/48970052" TargetMode="External"/><Relationship Id="rId4" Type="http://schemas.openxmlformats.org/officeDocument/2006/relationships/hyperlink" Target="https://nexus.watercorporation.com.au/otcs/cs.exe/app/nodes/62017740" TargetMode="External"/><Relationship Id="rId9" Type="http://schemas.openxmlformats.org/officeDocument/2006/relationships/hyperlink" Target="https://nexus.watercorporation.com.au/otcs/cs.exe/link/58941674" TargetMode="External"/><Relationship Id="rId14" Type="http://schemas.openxmlformats.org/officeDocument/2006/relationships/hyperlink" Target="https://nexus.watercorporation.com.au/otcs/cs.exe/link/81220053" TargetMode="External"/><Relationship Id="rId22" Type="http://schemas.openxmlformats.org/officeDocument/2006/relationships/hyperlink" Target="https://nexus.watercorporation.com.au/otcs/cs.exe/app/nodes/48972016" TargetMode="External"/><Relationship Id="rId27" Type="http://schemas.openxmlformats.org/officeDocument/2006/relationships/hyperlink" Target="https://nexus.watercorporation.com.au/otcs/cs.exe/app/nodes/62017712" TargetMode="External"/><Relationship Id="rId30" Type="http://schemas.openxmlformats.org/officeDocument/2006/relationships/hyperlink" Target="https://nexus.watercorporation.com.au/otcs/cs.exe/app/nodes/48969961" TargetMode="External"/><Relationship Id="rId35" Type="http://schemas.openxmlformats.org/officeDocument/2006/relationships/hyperlink" Target="https://nexus.watercorporation.com.au/otcs/cs.exe/app/nodes/62019043" TargetMode="External"/><Relationship Id="rId8" Type="http://schemas.openxmlformats.org/officeDocument/2006/relationships/hyperlink" Target="https://nexus.watercorporation.com.au/otcs/cs.exe/app/nodes/62020942" TargetMode="External"/><Relationship Id="rId3" Type="http://schemas.openxmlformats.org/officeDocument/2006/relationships/hyperlink" Target="https://nexus.watercorporation.com.au/otcs/cs.exe/app/nodes/62017712" TargetMode="External"/><Relationship Id="rId12" Type="http://schemas.openxmlformats.org/officeDocument/2006/relationships/hyperlink" Target="https://nexus.watercorporation.com.au/otcs/cs.exe/app/nodes/58941674" TargetMode="External"/><Relationship Id="rId17" Type="http://schemas.openxmlformats.org/officeDocument/2006/relationships/hyperlink" Target="https://nexus.watercorporation.com.au/otcs/cs.exe/app/nodes/48968936" TargetMode="External"/><Relationship Id="rId25" Type="http://schemas.openxmlformats.org/officeDocument/2006/relationships/hyperlink" Target="https://nexus.watercorporation.com.au/otcs/cs.exe/link/62196370" TargetMode="External"/><Relationship Id="rId33" Type="http://schemas.openxmlformats.org/officeDocument/2006/relationships/hyperlink" Target="https://nexus.watercorporation.com.au/otcs/cs.exe/app/nodes/48972003" TargetMode="External"/><Relationship Id="rId38" Type="http://schemas.openxmlformats.org/officeDocument/2006/relationships/hyperlink" Target="https://nexus.watercorporation.com.au/otcs/cs.exe/app/nodes/6202095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ebbie.Monkhouse@watercorporation.com.au" TargetMode="External"/><Relationship Id="rId7" Type="http://schemas.openxmlformats.org/officeDocument/2006/relationships/vmlDrawing" Target="../drawings/vmlDrawing3.vml"/><Relationship Id="rId2" Type="http://schemas.openxmlformats.org/officeDocument/2006/relationships/hyperlink" Target="mailto:Debbie.Monkhouse@watercorporation.com.au" TargetMode="External"/><Relationship Id="rId1" Type="http://schemas.openxmlformats.org/officeDocument/2006/relationships/hyperlink" Target="https://nexus.watercorporation.com.au/otcs/cs.exe/link/97346990" TargetMode="External"/><Relationship Id="rId6" Type="http://schemas.openxmlformats.org/officeDocument/2006/relationships/printerSettings" Target="../printerSettings/printerSettings6.bin"/><Relationship Id="rId5" Type="http://schemas.openxmlformats.org/officeDocument/2006/relationships/hyperlink" Target="https://nexus.watercorporation.com.au/otcs/cs.exe/link/81537484" TargetMode="External"/><Relationship Id="rId4" Type="http://schemas.openxmlformats.org/officeDocument/2006/relationships/hyperlink" Target="mailto:stephen.jerkovic@watercorporation.com.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nexus.watercorporation.com.au/otcs/cs.exe/link/62006407" TargetMode="External"/><Relationship Id="rId2" Type="http://schemas.openxmlformats.org/officeDocument/2006/relationships/hyperlink" Target="https://nexus.watercorporation.com.au/otcs/cs.exe/link/62043939" TargetMode="External"/><Relationship Id="rId1" Type="http://schemas.openxmlformats.org/officeDocument/2006/relationships/hyperlink" Target="https://nexus.watercorporation.com.au/otcs/cs.exe/link/62042907" TargetMode="External"/><Relationship Id="rId6" Type="http://schemas.openxmlformats.org/officeDocument/2006/relationships/printerSettings" Target="../printerSettings/printerSettings7.bin"/><Relationship Id="rId5" Type="http://schemas.openxmlformats.org/officeDocument/2006/relationships/hyperlink" Target="https://nexus.watercorporation.com.au/otcs/cs.exe/link/58979569" TargetMode="External"/><Relationship Id="rId4" Type="http://schemas.openxmlformats.org/officeDocument/2006/relationships/hyperlink" Target="phttps://nexus.watercorporation.com.au/otcs/cs.exe/link/5894167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00CC"/>
    <outlinePr summaryBelow="0"/>
  </sheetPr>
  <dimension ref="B2:M54"/>
  <sheetViews>
    <sheetView showGridLines="0" zoomScale="115" zoomScaleNormal="115" zoomScaleSheetLayoutView="85" workbookViewId="0">
      <selection activeCell="G44" sqref="G44"/>
    </sheetView>
  </sheetViews>
  <sheetFormatPr defaultColWidth="9.140625" defaultRowHeight="15" outlineLevelRow="1"/>
  <cols>
    <col min="1" max="3" width="3.5703125" style="85" customWidth="1"/>
    <col min="4" max="4" width="3.140625" style="85" customWidth="1"/>
    <col min="5" max="5" width="3.85546875" style="85" bestFit="1" customWidth="1"/>
    <col min="6" max="6" width="32.42578125" style="85" customWidth="1"/>
    <col min="7" max="7" width="98.5703125" style="85" customWidth="1"/>
    <col min="8" max="8" width="20" style="85" customWidth="1"/>
    <col min="9" max="9" width="25" style="85" customWidth="1"/>
    <col min="10" max="10" width="3.28515625" style="85" customWidth="1"/>
    <col min="11" max="16384" width="9.140625" style="85"/>
  </cols>
  <sheetData>
    <row r="2" spans="2:13" ht="53.25" customHeight="1">
      <c r="B2" s="361" t="str">
        <f>IF('3. Registration'!U5="&lt; SELECT HERE! &gt;","",IF('3. Registration'!U5="Review of expired only product/s with no change since previous approval","Open the 'Expired Only Product/s With No Change Since Previous Approval' status table","Open the 'New Products, Review of Expired Product/s With New Models, Review of Existing Products With New Changes Made OR Review of Problematic Products in the Field' status table."))</f>
        <v/>
      </c>
      <c r="C2" s="678"/>
      <c r="D2" s="678"/>
      <c r="E2" s="678"/>
      <c r="F2" s="678"/>
      <c r="G2" s="678"/>
      <c r="H2" s="678"/>
      <c r="I2" s="678"/>
      <c r="J2" s="678"/>
      <c r="K2" s="678"/>
      <c r="L2" s="678"/>
      <c r="M2" s="678"/>
    </row>
    <row r="4" spans="2:13" ht="24" customHeight="1" collapsed="1">
      <c r="E4" s="247" t="str">
        <f>IF('3. Registration'!U5="&lt; SELECT HERE! &gt;","",IF('3. Registration'!U5&lt;&gt;"Review of expired only product/s with no change since previous approval","Status Table:",""))</f>
        <v/>
      </c>
      <c r="F4" s="248" t="str">
        <f>IF('3. Registration'!U5="&lt; SELECT HERE! &gt;","",IF('3. Registration'!U5&lt;&gt;"Review of expired only product/s with no change since previous approval","New Products, Review of Expired Product/s With New Models, Review of Existing Products With New Changes Made OR Review of Problematic Products in the Field",""))</f>
        <v/>
      </c>
    </row>
    <row r="5" spans="2:13" ht="15.6" hidden="1" outlineLevel="1" thickTop="1">
      <c r="D5" s="86"/>
      <c r="E5" s="87"/>
      <c r="F5" s="87"/>
      <c r="G5" s="87"/>
      <c r="H5" s="87"/>
      <c r="I5" s="87"/>
      <c r="J5" s="88"/>
    </row>
    <row r="6" spans="2:13" ht="21" hidden="1" outlineLevel="1">
      <c r="D6" s="89"/>
      <c r="E6" s="94"/>
      <c r="F6" s="679" t="s">
        <v>0</v>
      </c>
      <c r="G6" s="680"/>
      <c r="H6" s="95" t="s">
        <v>1</v>
      </c>
      <c r="I6" s="95" t="s">
        <v>2</v>
      </c>
      <c r="J6" s="93"/>
    </row>
    <row r="7" spans="2:13" ht="15.6" hidden="1" outlineLevel="1">
      <c r="D7" s="89"/>
      <c r="E7" s="16">
        <v>1</v>
      </c>
      <c r="F7" s="681" t="s">
        <v>3</v>
      </c>
      <c r="G7" s="682"/>
      <c r="H7" s="17" t="str">
        <f>IF('3. Registration'!AB41&lt;&gt;"&lt; enter date this action was totally completed &gt;","completed","yet to complete")</f>
        <v>yet to complete</v>
      </c>
      <c r="I7" s="18" t="str">
        <f>IF('3. Registration'!AB41="&lt; enter date this action was totally completed &gt;","",'3. Registration'!AB41)</f>
        <v/>
      </c>
      <c r="J7" s="93"/>
    </row>
    <row r="8" spans="2:13" ht="15.6" hidden="1" outlineLevel="1">
      <c r="D8" s="89"/>
      <c r="E8" s="19">
        <v>2</v>
      </c>
      <c r="F8" s="683" t="s">
        <v>4</v>
      </c>
      <c r="G8" s="684"/>
      <c r="H8" s="17" t="str">
        <f>IF('4. Panel Member Index'!P4&lt;&gt;"&lt; enter date this action was totally completed &gt;","completed","yet to complete")</f>
        <v>yet to complete</v>
      </c>
      <c r="I8" s="21" t="str">
        <f>IF('4. Panel Member Index'!P4="&lt; enter date this action was totally completed &gt;","",'4. Panel Member Index'!P4)</f>
        <v/>
      </c>
      <c r="J8" s="93"/>
    </row>
    <row r="9" spans="2:13" ht="15.6" hidden="1" outlineLevel="1">
      <c r="D9" s="89"/>
      <c r="E9" s="16">
        <v>3</v>
      </c>
      <c r="F9" s="681" t="s">
        <v>5</v>
      </c>
      <c r="G9" s="682"/>
      <c r="H9" s="20" t="str">
        <f>IF('5. Review'!G82&lt;&gt;"&lt; enter date this part was fully completed &gt;","completed","yet to complete")</f>
        <v>yet to complete</v>
      </c>
      <c r="I9" s="18" t="str">
        <f>IF('5. Review'!G82="&lt; enter date this part was fully completed &gt;","",'5. Review'!G82)</f>
        <v/>
      </c>
      <c r="J9" s="93"/>
    </row>
    <row r="10" spans="2:13" ht="15.6" hidden="1" outlineLevel="1">
      <c r="D10" s="89"/>
      <c r="E10" s="19">
        <v>4</v>
      </c>
      <c r="F10" s="683" t="s">
        <v>6</v>
      </c>
      <c r="G10" s="684"/>
      <c r="H10" s="17" t="str">
        <f>IF('5. Review'!G182&lt;&gt;"&lt; enter date this part was fully completed &gt;","completed","yet to complete")</f>
        <v>yet to complete</v>
      </c>
      <c r="I10" s="21" t="str">
        <f>IF('5. Review'!G182="&lt; enter date this part was fully completed &gt;","",'5. Review'!G182)</f>
        <v/>
      </c>
      <c r="J10" s="93"/>
    </row>
    <row r="11" spans="2:13" ht="15.6" hidden="1" outlineLevel="1">
      <c r="D11" s="89"/>
      <c r="E11" s="16">
        <v>5</v>
      </c>
      <c r="F11" s="681" t="s">
        <v>7</v>
      </c>
      <c r="G11" s="682"/>
      <c r="H11" s="20" t="str">
        <f>IF('5. Review'!G205&lt;&gt;"&lt; enter date this part was fully completed &gt;","completed","yet to complete")</f>
        <v>yet to complete</v>
      </c>
      <c r="I11" s="18" t="str">
        <f>IF('5. Review'!G205="&lt; enter date this part was fully completed &gt;","",'5. Review'!G205)</f>
        <v/>
      </c>
      <c r="J11" s="93"/>
    </row>
    <row r="12" spans="2:13" ht="15.6" hidden="1" outlineLevel="1">
      <c r="D12" s="89"/>
      <c r="E12" s="19">
        <v>6</v>
      </c>
      <c r="F12" s="683" t="s">
        <v>8</v>
      </c>
      <c r="G12" s="684"/>
      <c r="H12" s="17" t="str">
        <f>IF('5. Review'!G230&lt;&gt;"&lt; enter date this part was fully completed &gt;","completed","yet to complete")</f>
        <v>yet to complete</v>
      </c>
      <c r="I12" s="21" t="str">
        <f>IF('5. Review'!G230="&lt; enter date this part was fully completed &gt;","",'5. Review'!G230)</f>
        <v/>
      </c>
      <c r="J12" s="93"/>
    </row>
    <row r="13" spans="2:13" ht="15.6" hidden="1" outlineLevel="1">
      <c r="D13" s="89"/>
      <c r="E13" s="16">
        <v>7</v>
      </c>
      <c r="F13" s="681" t="s">
        <v>9</v>
      </c>
      <c r="G13" s="682"/>
      <c r="H13" s="20" t="str">
        <f>IF('5. Review'!G252&lt;&gt;"&lt; enter date this part was fully completed &gt;","completed","yet to complete")</f>
        <v>yet to complete</v>
      </c>
      <c r="I13" s="18" t="str">
        <f>IF('5. Review'!G252="&lt; enter date this part was fully completed &gt;","",'5. Review'!G252)</f>
        <v/>
      </c>
      <c r="J13" s="93"/>
    </row>
    <row r="14" spans="2:13" ht="15.6" hidden="1" outlineLevel="1">
      <c r="D14" s="89"/>
      <c r="E14" s="19">
        <v>8</v>
      </c>
      <c r="F14" s="683" t="s">
        <v>10</v>
      </c>
      <c r="G14" s="684"/>
      <c r="H14" s="17" t="str">
        <f>IF('5. Review'!G272&lt;&gt;"&lt; enter date this part was fully completed &gt;","completed","yet to complete")</f>
        <v>yet to complete</v>
      </c>
      <c r="I14" s="21" t="str">
        <f>IF('5. Review'!G272="&lt; enter date this part was fully completed &gt;","",'5. Review'!G272)</f>
        <v/>
      </c>
      <c r="J14" s="93"/>
    </row>
    <row r="15" spans="2:13" ht="15.6" hidden="1" outlineLevel="1">
      <c r="D15" s="89"/>
      <c r="E15" s="16">
        <v>9</v>
      </c>
      <c r="F15" s="681" t="s">
        <v>11</v>
      </c>
      <c r="G15" s="682"/>
      <c r="H15" s="20" t="str">
        <f>IF('5. Review'!G284&lt;&gt;"&lt; enter date this part was fully completed &gt;","completed","yet to complete")</f>
        <v>yet to complete</v>
      </c>
      <c r="I15" s="18" t="str">
        <f>IF('5. Review'!G284="&lt; enter date this part was fully completed &gt;","",'5. Review'!G284)</f>
        <v/>
      </c>
      <c r="J15" s="93"/>
    </row>
    <row r="16" spans="2:13" ht="15.6" hidden="1" outlineLevel="1">
      <c r="D16" s="89"/>
      <c r="E16" s="19">
        <v>10</v>
      </c>
      <c r="F16" s="683" t="s">
        <v>12</v>
      </c>
      <c r="G16" s="684"/>
      <c r="H16" s="17" t="str">
        <f>IF('5. Review'!G301&lt;&gt;"&lt; enter date this part was fully completed &gt;","completed","yet to complete")</f>
        <v>yet to complete</v>
      </c>
      <c r="I16" s="21" t="str">
        <f>IF('5. Review'!G301="&lt; enter date this part was fully completed &gt;","",'5. Review'!G301)</f>
        <v/>
      </c>
      <c r="J16" s="93"/>
    </row>
    <row r="17" spans="4:10" ht="15.6" hidden="1" outlineLevel="1">
      <c r="D17" s="89"/>
      <c r="E17" s="16">
        <v>11</v>
      </c>
      <c r="F17" s="681" t="s">
        <v>13</v>
      </c>
      <c r="G17" s="682"/>
      <c r="H17" s="20" t="str">
        <f>IF('5. Review'!G316&lt;&gt;"&lt; enter date this part was fully completed &gt;","completed","yet to complete")</f>
        <v>yet to complete</v>
      </c>
      <c r="I17" s="18" t="str">
        <f>IF('5. Review'!G316="&lt; enter date this part was fully completed &gt;","",'5. Review'!G316)</f>
        <v/>
      </c>
      <c r="J17" s="93"/>
    </row>
    <row r="18" spans="4:10" ht="15.6" hidden="1" outlineLevel="1">
      <c r="D18" s="89"/>
      <c r="E18" s="19">
        <v>12</v>
      </c>
      <c r="F18" s="683" t="s">
        <v>14</v>
      </c>
      <c r="G18" s="684"/>
      <c r="H18" s="17" t="str">
        <f>IF('5. Review'!G331&lt;&gt;"&lt; enter date this part was fully completed &gt;","completed","yet to complete")</f>
        <v>yet to complete</v>
      </c>
      <c r="I18" s="21" t="str">
        <f>IF('5. Review'!G331="&lt; enter date this part was fully completed &gt;","",'5. Review'!G331)</f>
        <v/>
      </c>
      <c r="J18" s="93"/>
    </row>
    <row r="19" spans="4:10" ht="15.6" hidden="1" outlineLevel="1">
      <c r="D19" s="89"/>
      <c r="E19" s="16">
        <v>13</v>
      </c>
      <c r="F19" s="681" t="s">
        <v>15</v>
      </c>
      <c r="G19" s="682"/>
      <c r="H19" s="20" t="str">
        <f>IF('5. Review'!G342&lt;&gt;"&lt; enter date this part was fully completed &gt;","completed","yet to complete")</f>
        <v>yet to complete</v>
      </c>
      <c r="I19" s="18" t="str">
        <f>IF('5. Review'!G342="&lt; enter date this part was fully completed &gt;","",'5. Review'!G342)</f>
        <v/>
      </c>
      <c r="J19" s="93"/>
    </row>
    <row r="20" spans="4:10" ht="15.6" hidden="1" outlineLevel="1">
      <c r="D20" s="89"/>
      <c r="E20" s="19">
        <v>14</v>
      </c>
      <c r="F20" s="683" t="s">
        <v>16</v>
      </c>
      <c r="G20" s="684"/>
      <c r="H20" s="17" t="str">
        <f>IF('5. Review'!G353&lt;&gt;"&lt; enter date this part was fully completed &gt;","completed","yet to complete")</f>
        <v>yet to complete</v>
      </c>
      <c r="I20" s="21" t="str">
        <f>IF('5. Review'!G353="&lt; enter date this part was fully completed &gt;","",'5. Review'!G353)</f>
        <v/>
      </c>
      <c r="J20" s="93"/>
    </row>
    <row r="21" spans="4:10" ht="15.6" hidden="1" outlineLevel="1">
      <c r="D21" s="89"/>
      <c r="E21" s="16">
        <v>14</v>
      </c>
      <c r="F21" s="681" t="s">
        <v>17</v>
      </c>
      <c r="G21" s="682"/>
      <c r="H21" s="17" t="str">
        <f>IF('6. RRR'!V60&lt;&gt;"enter here","completed","yet to complete")</f>
        <v>yet to complete</v>
      </c>
      <c r="I21" s="18" t="str">
        <f>IF('6. RRR'!AC76="enter here","",'6. RRR'!AC76)</f>
        <v/>
      </c>
      <c r="J21" s="93"/>
    </row>
    <row r="22" spans="4:10" ht="15.6" hidden="1" outlineLevel="1">
      <c r="D22" s="89"/>
      <c r="E22" s="19">
        <v>15</v>
      </c>
      <c r="F22" s="19" t="s">
        <v>18</v>
      </c>
      <c r="G22" s="317" t="str">
        <f>IF(H14="yet to complete","","(which is due between "&amp;TEXT('5. Review'!G292-90,"dd mmmm yyyy")&amp;" and "&amp;TEXT('5. Review'!G292,"dd mmmm yyyy")&amp;")")</f>
        <v/>
      </c>
      <c r="H22" s="20" t="str">
        <f>IF('7. Expiry Notification'!X53&lt;&gt;"&lt; enter date this action was totally completed &gt;","completed","yet to complete")</f>
        <v>yet to complete</v>
      </c>
      <c r="I22" s="21" t="str">
        <f>IF('7. Expiry Notification'!X53="&lt; enter date this action was totally completed &gt;","",'7. Expiry Notification'!X53)</f>
        <v/>
      </c>
      <c r="J22" s="93"/>
    </row>
    <row r="23" spans="4:10" ht="15.6" hidden="1" outlineLevel="1" thickBot="1">
      <c r="D23" s="90"/>
      <c r="E23" s="91"/>
      <c r="F23" s="91"/>
      <c r="G23" s="91"/>
      <c r="H23" s="91"/>
      <c r="I23" s="91"/>
      <c r="J23" s="92"/>
    </row>
    <row r="24" spans="4:10" ht="24" customHeight="1" collapsed="1">
      <c r="E24" s="247" t="str">
        <f>IF('3. Registration'!U5="&lt; SELECT HERE! &gt;","",IF('3. Registration'!U5="Review of expired only product/s with no change since previous approval","Status Table:",""))</f>
        <v/>
      </c>
      <c r="F24" s="248" t="str">
        <f>IF('3. Registration'!U5="&lt; SELECT HERE! &gt;","",IF('3. Registration'!U5="Review of expired only product/s with no change since previous approval","Expired Only Product/s With No Change Since Previous Approval.",""))</f>
        <v/>
      </c>
    </row>
    <row r="25" spans="4:10" ht="15.6" hidden="1" outlineLevel="1" thickTop="1">
      <c r="D25" s="86"/>
      <c r="E25" s="87"/>
      <c r="F25" s="87"/>
      <c r="G25" s="87"/>
      <c r="H25" s="87"/>
      <c r="I25" s="87"/>
      <c r="J25" s="88"/>
    </row>
    <row r="26" spans="4:10" ht="21" hidden="1" outlineLevel="1">
      <c r="D26" s="89"/>
      <c r="E26" s="94"/>
      <c r="F26" s="679" t="s">
        <v>0</v>
      </c>
      <c r="G26" s="680"/>
      <c r="H26" s="95" t="s">
        <v>1</v>
      </c>
      <c r="I26" s="95" t="s">
        <v>2</v>
      </c>
      <c r="J26" s="93"/>
    </row>
    <row r="27" spans="4:10" ht="15.6" hidden="1" outlineLevel="1">
      <c r="D27" s="89"/>
      <c r="E27" s="16">
        <v>1</v>
      </c>
      <c r="F27" s="681" t="s">
        <v>3</v>
      </c>
      <c r="G27" s="682"/>
      <c r="H27" s="17" t="str">
        <f>IF('3. Registration'!AB41&lt;&gt;"&lt; enter date this action was totally completed &gt;","completed","yet to complete")</f>
        <v>yet to complete</v>
      </c>
      <c r="I27" s="18" t="str">
        <f>IF('3. Registration'!AB41="&lt; enter date this action was totally completed &gt;","",'3. Registration'!AB41)</f>
        <v/>
      </c>
      <c r="J27" s="93"/>
    </row>
    <row r="28" spans="4:10" ht="15.6" hidden="1" outlineLevel="1">
      <c r="D28" s="89"/>
      <c r="E28" s="19">
        <v>2</v>
      </c>
      <c r="F28" s="683" t="s">
        <v>4</v>
      </c>
      <c r="G28" s="684"/>
      <c r="H28" s="17" t="str">
        <f>IF('4. Panel Member Index'!P4&lt;&gt;"&lt; enter date this action was totally completed &gt;","completed","yet to complete")</f>
        <v>yet to complete</v>
      </c>
      <c r="I28" s="21" t="str">
        <f>IF('4. Panel Member Index'!P4="&lt; enter date this action was totally completed &gt;","",'4. Panel Member Index'!P4)</f>
        <v/>
      </c>
      <c r="J28" s="93"/>
    </row>
    <row r="29" spans="4:10" ht="15.6" hidden="1" outlineLevel="1">
      <c r="D29" s="89"/>
      <c r="E29" s="16">
        <v>3</v>
      </c>
      <c r="F29" s="681" t="s">
        <v>5</v>
      </c>
      <c r="G29" s="682"/>
      <c r="H29" s="20" t="str">
        <f>IF('5. Review'!G405&lt;&gt;"&lt; enter date this part was fully completed &gt;","completed","yet to complete")</f>
        <v>yet to complete</v>
      </c>
      <c r="I29" s="18" t="str">
        <f>IF('5. Review'!G405="&lt; enter date this part was fully completed &gt;","",'5. Review'!G405)</f>
        <v/>
      </c>
      <c r="J29" s="93"/>
    </row>
    <row r="30" spans="4:10" ht="15.6" hidden="1" outlineLevel="1">
      <c r="D30" s="89"/>
      <c r="E30" s="19">
        <v>4</v>
      </c>
      <c r="F30" s="683" t="s">
        <v>19</v>
      </c>
      <c r="G30" s="684"/>
      <c r="H30" s="17" t="str">
        <f>IF('5. Review'!G433&lt;&gt;"&lt; enter date this part was fully completed &gt;","completed","yet to complete")</f>
        <v>yet to complete</v>
      </c>
      <c r="I30" s="21" t="str">
        <f>IF('5. Review'!G433="&lt; enter date this part was fully completed &gt;","",'5. Review'!G433)</f>
        <v/>
      </c>
      <c r="J30" s="93"/>
    </row>
    <row r="31" spans="4:10" ht="15.6" hidden="1" outlineLevel="1">
      <c r="D31" s="89"/>
      <c r="E31" s="16">
        <v>5</v>
      </c>
      <c r="F31" s="681" t="s">
        <v>20</v>
      </c>
      <c r="G31" s="682"/>
      <c r="H31" s="20" t="str">
        <f>IF('5. Review'!G533&lt;&gt;"&lt; enter date this part was fully completed &gt;","completed","yet to complete")</f>
        <v>yet to complete</v>
      </c>
      <c r="I31" s="18" t="str">
        <f>IF('5. Review'!G533="&lt; enter date this part was fully completed &gt;","",'5. Review'!G533)</f>
        <v/>
      </c>
      <c r="J31" s="93"/>
    </row>
    <row r="32" spans="4:10" ht="15.6" hidden="1" outlineLevel="1">
      <c r="D32" s="89"/>
      <c r="E32" s="19">
        <v>6</v>
      </c>
      <c r="F32" s="683" t="s">
        <v>21</v>
      </c>
      <c r="G32" s="684"/>
      <c r="H32" s="17" t="str">
        <f>IF('5. Review'!G559&lt;&gt;"&lt; enter date this part was fully completed &gt;","completed","yet to complete")</f>
        <v>yet to complete</v>
      </c>
      <c r="I32" s="21" t="str">
        <f>IF('5. Review'!G559="&lt; enter date this part was fully completed &gt;","",'5. Review'!G559)</f>
        <v/>
      </c>
      <c r="J32" s="93"/>
    </row>
    <row r="33" spans="4:10" ht="15.6" hidden="1" outlineLevel="1">
      <c r="D33" s="89"/>
      <c r="E33" s="16">
        <v>7</v>
      </c>
      <c r="F33" s="681" t="s">
        <v>22</v>
      </c>
      <c r="G33" s="682"/>
      <c r="H33" s="20" t="str">
        <f>IF('5. Review'!G581&lt;&gt;"&lt; enter date this part was fully completed &gt;","completed","yet to complete")</f>
        <v>yet to complete</v>
      </c>
      <c r="I33" s="18" t="str">
        <f>IF('5. Review'!G581="&lt; enter date this part was fully completed &gt;","",'5. Review'!G581)</f>
        <v/>
      </c>
      <c r="J33" s="93"/>
    </row>
    <row r="34" spans="4:10" ht="15.6" hidden="1" outlineLevel="1">
      <c r="D34" s="89"/>
      <c r="E34" s="19">
        <v>8</v>
      </c>
      <c r="F34" s="683" t="s">
        <v>23</v>
      </c>
      <c r="G34" s="684"/>
      <c r="H34" s="17" t="str">
        <f>IF('5. Review'!G593&lt;&gt;"&lt; enter date this part was fully completed &gt;","completed","yet to complete")</f>
        <v>yet to complete</v>
      </c>
      <c r="I34" s="21" t="str">
        <f>IF('5. Review'!G593="&lt; enter date this part was fully completed &gt;","",'5. Review'!G593)</f>
        <v/>
      </c>
      <c r="J34" s="93"/>
    </row>
    <row r="35" spans="4:10" ht="15.6" hidden="1" outlineLevel="1">
      <c r="D35" s="89"/>
      <c r="E35" s="16">
        <v>9</v>
      </c>
      <c r="F35" s="681" t="s">
        <v>24</v>
      </c>
      <c r="G35" s="682"/>
      <c r="H35" s="20" t="str">
        <f>IF('5. Review'!G610&lt;&gt;"&lt; enter date this part was fully completed &gt;","completed","yet to complete")</f>
        <v>yet to complete</v>
      </c>
      <c r="I35" s="18" t="str">
        <f>IF('5. Review'!G610="&lt; enter date this part was fully completed &gt;","",'5. Review'!G610)</f>
        <v/>
      </c>
      <c r="J35" s="93"/>
    </row>
    <row r="36" spans="4:10" ht="15.6" hidden="1" outlineLevel="1">
      <c r="D36" s="89"/>
      <c r="E36" s="19">
        <v>10</v>
      </c>
      <c r="F36" s="683" t="s">
        <v>25</v>
      </c>
      <c r="G36" s="684"/>
      <c r="H36" s="17" t="str">
        <f>IF('5. Review'!G625&lt;&gt;"&lt; enter date this part was fully completed &gt;","completed","yet to complete")</f>
        <v>yet to complete</v>
      </c>
      <c r="I36" s="21" t="str">
        <f>IF('5. Review'!G625="&lt; enter date this part was fully completed &gt;","",'5. Review'!G625)</f>
        <v/>
      </c>
      <c r="J36" s="93"/>
    </row>
    <row r="37" spans="4:10" ht="15.6" hidden="1" outlineLevel="1">
      <c r="D37" s="89"/>
      <c r="E37" s="16">
        <v>11</v>
      </c>
      <c r="F37" s="681" t="s">
        <v>26</v>
      </c>
      <c r="G37" s="682"/>
      <c r="H37" s="20" t="str">
        <f>IF('5. Review'!G638&lt;&gt;"&lt; enter date this part was fully completed &gt;","completed","yet to complete")</f>
        <v>yet to complete</v>
      </c>
      <c r="I37" s="18" t="str">
        <f>IF('5. Review'!G638="&lt; enter date this part was fully completed &gt;","",'5. Review'!G638)</f>
        <v/>
      </c>
      <c r="J37" s="93"/>
    </row>
    <row r="38" spans="4:10" ht="15.6" hidden="1" outlineLevel="1">
      <c r="D38" s="89"/>
      <c r="E38" s="19">
        <v>12</v>
      </c>
      <c r="F38" s="683" t="s">
        <v>27</v>
      </c>
      <c r="G38" s="684"/>
      <c r="H38" s="17" t="str">
        <f>IF('5. Review'!G649&lt;&gt;"&lt; enter date this part was fully completed &gt;","completed","yet to complete")</f>
        <v>yet to complete</v>
      </c>
      <c r="I38" s="21" t="str">
        <f>IF('5. Review'!G649="&lt; enter date this part was fully completed &gt;","",'5. Review'!G649)</f>
        <v/>
      </c>
      <c r="J38" s="93"/>
    </row>
    <row r="39" spans="4:10" ht="15.6" hidden="1" outlineLevel="1">
      <c r="D39" s="89"/>
      <c r="E39" s="16">
        <v>13</v>
      </c>
      <c r="F39" s="681" t="s">
        <v>28</v>
      </c>
      <c r="G39" s="682"/>
      <c r="H39" s="20" t="str">
        <f>IF('5. Review'!G660&lt;&gt;"&lt; enter date this part was fully completed &gt;","completed","yet to complete")</f>
        <v>yet to complete</v>
      </c>
      <c r="I39" s="18" t="str">
        <f>IF('5. Review'!G660="&lt; enter date this part was fully completed &gt;","",'5. Review'!G660)</f>
        <v/>
      </c>
      <c r="J39" s="93"/>
    </row>
    <row r="40" spans="4:10" ht="15.6" hidden="1" outlineLevel="1">
      <c r="D40" s="89"/>
      <c r="E40" s="19">
        <v>13</v>
      </c>
      <c r="F40" s="683" t="s">
        <v>29</v>
      </c>
      <c r="G40" s="684"/>
      <c r="H40" s="20" t="str">
        <f>IF('6. RRR'!V60&lt;&gt;"enter here","completed","yet to complete")</f>
        <v>yet to complete</v>
      </c>
      <c r="I40" s="21" t="str">
        <f>IF('6. RRR'!AC76="enter here","",'6. RRR'!AC76)</f>
        <v/>
      </c>
      <c r="J40" s="93"/>
    </row>
    <row r="41" spans="4:10" ht="15.6" hidden="1" outlineLevel="1">
      <c r="D41" s="89"/>
      <c r="E41" s="16">
        <v>14</v>
      </c>
      <c r="F41" s="315" t="s">
        <v>30</v>
      </c>
      <c r="G41" s="316" t="str">
        <f>IF(H34="yet to complete","","(which is due between "&amp;TEXT('5. Review'!G601-90,"dd mmmm yyyy")&amp;" and "&amp;TEXT('5. Review'!G601,"dd mmmm yyyy")&amp;")")</f>
        <v/>
      </c>
      <c r="H41" s="17" t="str">
        <f>IF('7. Expiry Notification'!X53&lt;&gt;"&lt; enter date this action was totally completed &gt;","completed","yet to complete")</f>
        <v>yet to complete</v>
      </c>
      <c r="I41" s="18" t="str">
        <f>IF('7. Expiry Notification'!X53="&lt; enter date this action was totally completed &gt;","",'7. Expiry Notification'!X53)</f>
        <v/>
      </c>
      <c r="J41" s="93"/>
    </row>
    <row r="42" spans="4:10" ht="15.6" hidden="1" outlineLevel="1" thickBot="1">
      <c r="D42" s="90"/>
      <c r="E42" s="91"/>
      <c r="F42" s="91"/>
      <c r="G42" s="91"/>
      <c r="H42" s="91"/>
      <c r="I42" s="91"/>
      <c r="J42" s="92"/>
    </row>
    <row r="54" spans="7:7">
      <c r="G54" s="249"/>
    </row>
  </sheetData>
  <sheetProtection selectLockedCells="1"/>
  <mergeCells count="32">
    <mergeCell ref="B2:M2"/>
    <mergeCell ref="F35:G35"/>
    <mergeCell ref="F36:G36"/>
    <mergeCell ref="F37:G37"/>
    <mergeCell ref="F38:G38"/>
    <mergeCell ref="F26:G26"/>
    <mergeCell ref="F27:G27"/>
    <mergeCell ref="F28:G28"/>
    <mergeCell ref="F29:G29"/>
    <mergeCell ref="F6:G6"/>
    <mergeCell ref="F11:G11"/>
    <mergeCell ref="F10:G10"/>
    <mergeCell ref="F7:G7"/>
    <mergeCell ref="F8:G8"/>
    <mergeCell ref="F9:G9"/>
    <mergeCell ref="F19:G19"/>
    <mergeCell ref="F40:G40"/>
    <mergeCell ref="F30:G30"/>
    <mergeCell ref="F31:G31"/>
    <mergeCell ref="F32:G32"/>
    <mergeCell ref="F33:G33"/>
    <mergeCell ref="F34:G34"/>
    <mergeCell ref="F39:G39"/>
    <mergeCell ref="F21:G21"/>
    <mergeCell ref="F12:G12"/>
    <mergeCell ref="F13:G13"/>
    <mergeCell ref="F14:G14"/>
    <mergeCell ref="F15:G15"/>
    <mergeCell ref="F17:G17"/>
    <mergeCell ref="F18:G18"/>
    <mergeCell ref="F16:G16"/>
    <mergeCell ref="F20:G20"/>
  </mergeCells>
  <conditionalFormatting sqref="H17:H19 H7:H15 H27:H35 H21:H22">
    <cfRule type="cellIs" dxfId="963" priority="16" operator="equal">
      <formula>"completed"</formula>
    </cfRule>
    <cfRule type="cellIs" dxfId="962" priority="17" operator="equal">
      <formula>"yet to complete"</formula>
    </cfRule>
  </conditionalFormatting>
  <conditionalFormatting sqref="G22">
    <cfRule type="notContainsBlanks" dxfId="961" priority="13">
      <formula>LEN(TRIM(G22))&gt;0</formula>
    </cfRule>
  </conditionalFormatting>
  <conditionalFormatting sqref="H16">
    <cfRule type="cellIs" dxfId="960" priority="11" operator="equal">
      <formula>"completed"</formula>
    </cfRule>
    <cfRule type="cellIs" dxfId="959" priority="12" operator="equal">
      <formula>"yet to complete"</formula>
    </cfRule>
  </conditionalFormatting>
  <conditionalFormatting sqref="H37:H38 H40:H41">
    <cfRule type="cellIs" dxfId="958" priority="9" operator="equal">
      <formula>"completed"</formula>
    </cfRule>
    <cfRule type="cellIs" dxfId="957" priority="10" operator="equal">
      <formula>"yet to complete"</formula>
    </cfRule>
  </conditionalFormatting>
  <conditionalFormatting sqref="H36">
    <cfRule type="cellIs" dxfId="956" priority="6" operator="equal">
      <formula>"completed"</formula>
    </cfRule>
    <cfRule type="cellIs" dxfId="955" priority="7" operator="equal">
      <formula>"yet to complete"</formula>
    </cfRule>
  </conditionalFormatting>
  <conditionalFormatting sqref="G41">
    <cfRule type="notContainsBlanks" dxfId="954" priority="5">
      <formula>LEN(TRIM(G41))&gt;0</formula>
    </cfRule>
  </conditionalFormatting>
  <conditionalFormatting sqref="H20">
    <cfRule type="cellIs" dxfId="953" priority="3" operator="equal">
      <formula>"completed"</formula>
    </cfRule>
    <cfRule type="cellIs" dxfId="952" priority="4" operator="equal">
      <formula>"yet to complete"</formula>
    </cfRule>
  </conditionalFormatting>
  <conditionalFormatting sqref="H39">
    <cfRule type="cellIs" dxfId="951" priority="1" operator="equal">
      <formula>"completed"</formula>
    </cfRule>
    <cfRule type="cellIs" dxfId="950" priority="2" operator="equal">
      <formula>"yet to complete"</formula>
    </cfRule>
  </conditionalFormatting>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sheetPr>
  <dimension ref="A1:AW145"/>
  <sheetViews>
    <sheetView showGridLines="0" showRowColHeaders="0" tabSelected="1" showRuler="0" view="pageLayout" zoomScale="130" zoomScaleNormal="100" zoomScalePageLayoutView="130" workbookViewId="0">
      <selection sqref="A1:S4"/>
    </sheetView>
  </sheetViews>
  <sheetFormatPr defaultColWidth="9.140625" defaultRowHeight="12.6"/>
  <cols>
    <col min="1" max="3" width="3.5703125" style="1" customWidth="1"/>
    <col min="4" max="4" width="2.7109375" style="1" customWidth="1"/>
    <col min="5" max="9" width="3.5703125" style="1" customWidth="1"/>
    <col min="10" max="10" width="4.5703125" style="1" customWidth="1"/>
    <col min="11" max="11" width="3.5703125" style="1" customWidth="1"/>
    <col min="12" max="12" width="2.85546875" style="1" customWidth="1"/>
    <col min="13" max="18" width="3.5703125" style="1" customWidth="1"/>
    <col min="19" max="20" width="3" style="1" customWidth="1"/>
    <col min="21" max="21" width="3.5703125" style="1" customWidth="1"/>
    <col min="22" max="22" width="3.140625" style="1" customWidth="1"/>
    <col min="23" max="28" width="3.7109375" style="1" customWidth="1"/>
    <col min="29" max="16384" width="9.140625" style="1"/>
  </cols>
  <sheetData>
    <row r="1" spans="1:28" ht="16.5" customHeight="1">
      <c r="A1" s="407" t="s">
        <v>31</v>
      </c>
      <c r="B1" s="408"/>
      <c r="C1" s="408"/>
      <c r="D1" s="408"/>
      <c r="E1" s="408"/>
      <c r="F1" s="408"/>
      <c r="G1" s="408"/>
      <c r="H1" s="408"/>
      <c r="I1" s="408"/>
      <c r="J1" s="408"/>
      <c r="K1" s="408"/>
      <c r="L1" s="408"/>
      <c r="M1" s="408"/>
      <c r="N1" s="408"/>
      <c r="O1" s="409"/>
      <c r="P1" s="409"/>
      <c r="Q1" s="409"/>
      <c r="R1" s="410"/>
      <c r="S1" s="410"/>
    </row>
    <row r="2" spans="1:28" ht="15" customHeight="1">
      <c r="A2" s="408"/>
      <c r="B2" s="408"/>
      <c r="C2" s="408"/>
      <c r="D2" s="408"/>
      <c r="E2" s="408"/>
      <c r="F2" s="408"/>
      <c r="G2" s="408"/>
      <c r="H2" s="408"/>
      <c r="I2" s="408"/>
      <c r="J2" s="408"/>
      <c r="K2" s="408"/>
      <c r="L2" s="408"/>
      <c r="M2" s="408"/>
      <c r="N2" s="408"/>
      <c r="O2" s="409"/>
      <c r="P2" s="409"/>
      <c r="Q2" s="409"/>
      <c r="R2" s="410"/>
      <c r="S2" s="410"/>
      <c r="T2"/>
    </row>
    <row r="3" spans="1:28" ht="12.75" customHeight="1">
      <c r="A3" s="408"/>
      <c r="B3" s="408"/>
      <c r="C3" s="408"/>
      <c r="D3" s="408"/>
      <c r="E3" s="408"/>
      <c r="F3" s="408"/>
      <c r="G3" s="408"/>
      <c r="H3" s="408"/>
      <c r="I3" s="408"/>
      <c r="J3" s="408"/>
      <c r="K3" s="408"/>
      <c r="L3" s="408"/>
      <c r="M3" s="408"/>
      <c r="N3" s="408"/>
      <c r="O3" s="409"/>
      <c r="P3" s="409"/>
      <c r="Q3" s="409"/>
      <c r="R3" s="410"/>
      <c r="S3" s="410"/>
    </row>
    <row r="4" spans="1:28" ht="11.25" customHeight="1">
      <c r="A4" s="411"/>
      <c r="B4" s="411"/>
      <c r="C4" s="411"/>
      <c r="D4" s="411"/>
      <c r="E4" s="411"/>
      <c r="F4" s="411"/>
      <c r="G4" s="411"/>
      <c r="H4" s="411"/>
      <c r="I4" s="411"/>
      <c r="J4" s="411"/>
      <c r="K4" s="411"/>
      <c r="L4" s="411"/>
      <c r="M4" s="411"/>
      <c r="N4" s="411"/>
      <c r="O4" s="412"/>
      <c r="P4" s="412"/>
      <c r="Q4" s="412"/>
      <c r="R4" s="413"/>
      <c r="S4" s="413"/>
      <c r="T4" s="205"/>
      <c r="U4" s="205"/>
      <c r="V4" s="205"/>
      <c r="W4" s="205"/>
      <c r="X4" s="205"/>
      <c r="Y4" s="205"/>
      <c r="Z4" s="205"/>
      <c r="AA4" s="205"/>
      <c r="AB4" s="205"/>
    </row>
    <row r="5" spans="1:28" ht="17.25" customHeight="1">
      <c r="A5" s="388" t="s">
        <v>32</v>
      </c>
      <c r="B5" s="389"/>
      <c r="C5" s="389"/>
      <c r="D5" s="390"/>
      <c r="E5" s="390"/>
      <c r="F5" s="390"/>
      <c r="G5" s="390"/>
      <c r="H5" s="390"/>
      <c r="I5" s="390"/>
      <c r="J5" s="390"/>
      <c r="K5" s="390"/>
      <c r="L5" s="390"/>
      <c r="M5" s="390"/>
      <c r="N5" s="390"/>
      <c r="O5" s="390"/>
      <c r="P5" s="390"/>
      <c r="Q5" s="390"/>
      <c r="R5" s="390"/>
      <c r="S5" s="390"/>
      <c r="T5" s="390"/>
      <c r="U5" s="390"/>
      <c r="V5" s="390"/>
      <c r="W5" s="390"/>
      <c r="X5" s="390"/>
      <c r="Y5" s="390"/>
      <c r="Z5" s="390"/>
      <c r="AA5" s="390"/>
      <c r="AB5" s="391"/>
    </row>
    <row r="6" spans="1:28" s="2" customFormat="1" ht="17.25" customHeight="1">
      <c r="A6" s="377" t="s">
        <v>33</v>
      </c>
      <c r="B6" s="384"/>
      <c r="C6" s="384"/>
      <c r="D6" s="414"/>
      <c r="E6" s="414"/>
      <c r="F6" s="414"/>
      <c r="G6" s="414"/>
      <c r="H6" s="414"/>
      <c r="I6" s="414"/>
      <c r="J6" s="385"/>
      <c r="K6" s="385"/>
      <c r="L6" s="385"/>
      <c r="M6" s="385"/>
      <c r="N6" s="385"/>
      <c r="O6" s="385"/>
      <c r="P6" s="385"/>
      <c r="Q6" s="385"/>
      <c r="R6" s="385"/>
      <c r="S6" s="385"/>
      <c r="T6" s="385"/>
      <c r="U6" s="385"/>
      <c r="V6" s="385"/>
      <c r="W6" s="385"/>
      <c r="X6" s="385"/>
      <c r="Y6" s="385"/>
      <c r="Z6" s="385"/>
      <c r="AA6" s="385"/>
      <c r="AB6" s="415"/>
    </row>
    <row r="7" spans="1:28" s="2" customFormat="1" ht="17.25" customHeight="1">
      <c r="A7" s="377" t="s">
        <v>34</v>
      </c>
      <c r="B7" s="384"/>
      <c r="C7" s="384"/>
      <c r="D7" s="414"/>
      <c r="E7" s="414"/>
      <c r="F7" s="414"/>
      <c r="G7" s="414"/>
      <c r="H7" s="414"/>
      <c r="I7" s="414"/>
      <c r="J7" s="385"/>
      <c r="K7" s="385"/>
      <c r="L7" s="385"/>
      <c r="M7" s="385"/>
      <c r="N7" s="385"/>
      <c r="O7" s="385"/>
      <c r="P7" s="385"/>
      <c r="Q7" s="385"/>
      <c r="R7" s="385"/>
      <c r="S7" s="385"/>
      <c r="T7" s="385"/>
      <c r="U7" s="385"/>
      <c r="V7" s="385"/>
      <c r="W7" s="385"/>
      <c r="X7" s="385"/>
      <c r="Y7" s="385"/>
      <c r="Z7" s="385"/>
      <c r="AA7" s="385"/>
      <c r="AB7" s="415"/>
    </row>
    <row r="8" spans="1:28" s="2" customFormat="1" ht="17.25" customHeight="1">
      <c r="A8" s="377" t="s">
        <v>35</v>
      </c>
      <c r="B8" s="384"/>
      <c r="C8" s="384"/>
      <c r="D8" s="414"/>
      <c r="E8" s="414"/>
      <c r="F8" s="414"/>
      <c r="G8" s="414"/>
      <c r="H8" s="414"/>
      <c r="I8" s="414"/>
      <c r="J8" s="385"/>
      <c r="K8" s="385"/>
      <c r="L8" s="385"/>
      <c r="M8" s="385"/>
      <c r="N8" s="385"/>
      <c r="O8" s="385"/>
      <c r="P8" s="385"/>
      <c r="Q8" s="385"/>
      <c r="R8" s="385"/>
      <c r="S8" s="385"/>
      <c r="T8" s="385"/>
      <c r="U8" s="385"/>
      <c r="V8" s="385"/>
      <c r="W8" s="385"/>
      <c r="X8" s="385"/>
      <c r="Y8" s="385"/>
      <c r="Z8" s="385"/>
      <c r="AA8" s="385"/>
      <c r="AB8" s="415"/>
    </row>
    <row r="9" spans="1:28" s="2" customFormat="1" ht="17.25" customHeight="1">
      <c r="A9" s="377" t="s">
        <v>36</v>
      </c>
      <c r="B9" s="384"/>
      <c r="C9" s="384"/>
      <c r="D9" s="414"/>
      <c r="E9" s="414"/>
      <c r="F9" s="414"/>
      <c r="G9" s="414"/>
      <c r="H9" s="414"/>
      <c r="I9" s="414"/>
      <c r="J9" s="385"/>
      <c r="K9" s="385"/>
      <c r="L9" s="385"/>
      <c r="M9" s="385"/>
      <c r="N9" s="385"/>
      <c r="O9" s="385"/>
      <c r="P9" s="385"/>
      <c r="Q9" s="385"/>
      <c r="R9" s="385"/>
      <c r="S9" s="385"/>
      <c r="T9" s="385"/>
      <c r="U9" s="385"/>
      <c r="V9" s="385"/>
      <c r="W9" s="385"/>
      <c r="X9" s="385"/>
      <c r="Y9" s="385"/>
      <c r="Z9" s="385"/>
      <c r="AA9" s="385"/>
      <c r="AB9" s="415"/>
    </row>
    <row r="10" spans="1:28" ht="7.35" customHeight="1">
      <c r="A10" s="381"/>
      <c r="B10" s="381"/>
      <c r="C10" s="381"/>
    </row>
    <row r="11" spans="1:28" ht="17.25" customHeight="1">
      <c r="A11" s="366" t="s">
        <v>37</v>
      </c>
      <c r="B11" s="366"/>
      <c r="C11" s="366"/>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row>
    <row r="12" spans="1:28" s="2" customFormat="1" ht="17.25" customHeight="1">
      <c r="A12" s="368" t="s">
        <v>38</v>
      </c>
      <c r="B12" s="369"/>
      <c r="C12" s="369"/>
      <c r="D12" s="370"/>
      <c r="E12" s="371" t="s">
        <v>39</v>
      </c>
      <c r="F12" s="372"/>
      <c r="G12" s="372"/>
      <c r="H12" s="372"/>
      <c r="I12" s="372"/>
      <c r="J12" s="372"/>
      <c r="K12" s="372"/>
      <c r="L12" s="372"/>
      <c r="M12" s="372"/>
      <c r="N12" s="372"/>
      <c r="O12" s="372"/>
      <c r="P12" s="372"/>
      <c r="Q12" s="372"/>
      <c r="R12" s="372"/>
      <c r="S12" s="372"/>
      <c r="T12" s="372"/>
      <c r="U12" s="372"/>
      <c r="V12" s="372"/>
      <c r="W12" s="372"/>
      <c r="X12" s="372"/>
      <c r="Y12" s="372"/>
      <c r="Z12" s="372"/>
      <c r="AA12" s="372"/>
      <c r="AB12" s="373"/>
    </row>
    <row r="13" spans="1:28" s="2" customFormat="1" ht="17.25" customHeight="1">
      <c r="A13" s="368" t="s">
        <v>40</v>
      </c>
      <c r="B13" s="369"/>
      <c r="C13" s="369"/>
      <c r="D13" s="370"/>
      <c r="E13" s="371" t="s">
        <v>39</v>
      </c>
      <c r="F13" s="372"/>
      <c r="G13" s="372"/>
      <c r="H13" s="372"/>
      <c r="I13" s="372"/>
      <c r="J13" s="372"/>
      <c r="K13" s="372"/>
      <c r="L13" s="372"/>
      <c r="M13" s="372"/>
      <c r="N13" s="372"/>
      <c r="O13" s="372"/>
      <c r="P13" s="372"/>
      <c r="Q13" s="372"/>
      <c r="R13" s="372"/>
      <c r="S13" s="372"/>
      <c r="T13" s="372"/>
      <c r="U13" s="372"/>
      <c r="V13" s="372"/>
      <c r="W13" s="372"/>
      <c r="X13" s="372"/>
      <c r="Y13" s="372"/>
      <c r="Z13" s="372"/>
      <c r="AA13" s="372"/>
      <c r="AB13" s="373"/>
    </row>
    <row r="14" spans="1:28" s="2" customFormat="1" ht="17.25" customHeight="1">
      <c r="A14" s="368" t="s">
        <v>41</v>
      </c>
      <c r="B14" s="369"/>
      <c r="C14" s="369"/>
      <c r="D14" s="370"/>
      <c r="E14" s="374" t="s">
        <v>39</v>
      </c>
      <c r="F14" s="375"/>
      <c r="G14" s="375"/>
      <c r="H14" s="375"/>
      <c r="I14" s="375"/>
      <c r="J14" s="375"/>
      <c r="K14" s="377" t="s">
        <v>42</v>
      </c>
      <c r="L14" s="385"/>
      <c r="M14" s="371" t="s">
        <v>39</v>
      </c>
      <c r="N14" s="382"/>
      <c r="O14" s="382"/>
      <c r="P14" s="382"/>
      <c r="Q14" s="382"/>
      <c r="R14" s="382"/>
      <c r="S14" s="382"/>
      <c r="T14" s="383"/>
      <c r="U14" s="377" t="s">
        <v>43</v>
      </c>
      <c r="V14" s="685"/>
      <c r="W14" s="378" t="s">
        <v>39</v>
      </c>
      <c r="X14" s="379"/>
      <c r="Y14" s="379"/>
      <c r="Z14" s="379"/>
      <c r="AA14" s="379"/>
      <c r="AB14" s="380"/>
    </row>
    <row r="15" spans="1:28" ht="7.35" customHeight="1">
      <c r="A15" s="381"/>
      <c r="B15" s="381"/>
      <c r="C15" s="381"/>
    </row>
    <row r="16" spans="1:28" ht="17.25" customHeight="1">
      <c r="A16" s="366" t="s">
        <v>44</v>
      </c>
      <c r="B16" s="366"/>
      <c r="C16" s="366"/>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row>
    <row r="17" spans="1:28" s="2" customFormat="1" ht="17.25" customHeight="1">
      <c r="A17" s="368" t="s">
        <v>38</v>
      </c>
      <c r="B17" s="369"/>
      <c r="C17" s="369"/>
      <c r="D17" s="370"/>
      <c r="E17" s="371" t="s">
        <v>39</v>
      </c>
      <c r="F17" s="372"/>
      <c r="G17" s="372"/>
      <c r="H17" s="372"/>
      <c r="I17" s="372"/>
      <c r="J17" s="372"/>
      <c r="K17" s="372"/>
      <c r="L17" s="372"/>
      <c r="M17" s="372"/>
      <c r="N17" s="372"/>
      <c r="O17" s="372"/>
      <c r="P17" s="372"/>
      <c r="Q17" s="372"/>
      <c r="R17" s="372"/>
      <c r="S17" s="372"/>
      <c r="T17" s="372"/>
      <c r="U17" s="372"/>
      <c r="V17" s="372"/>
      <c r="W17" s="372"/>
      <c r="X17" s="372"/>
      <c r="Y17" s="372"/>
      <c r="Z17" s="372"/>
      <c r="AA17" s="372"/>
      <c r="AB17" s="373"/>
    </row>
    <row r="18" spans="1:28" s="2" customFormat="1" ht="17.25" customHeight="1">
      <c r="A18" s="368" t="s">
        <v>40</v>
      </c>
      <c r="B18" s="369"/>
      <c r="C18" s="369"/>
      <c r="D18" s="370"/>
      <c r="E18" s="371" t="s">
        <v>39</v>
      </c>
      <c r="F18" s="372"/>
      <c r="G18" s="372"/>
      <c r="H18" s="372"/>
      <c r="I18" s="372"/>
      <c r="J18" s="372"/>
      <c r="K18" s="372"/>
      <c r="L18" s="372"/>
      <c r="M18" s="372"/>
      <c r="N18" s="372"/>
      <c r="O18" s="372"/>
      <c r="P18" s="372"/>
      <c r="Q18" s="372"/>
      <c r="R18" s="372"/>
      <c r="S18" s="372"/>
      <c r="T18" s="372"/>
      <c r="U18" s="372"/>
      <c r="V18" s="372"/>
      <c r="W18" s="372"/>
      <c r="X18" s="372"/>
      <c r="Y18" s="372"/>
      <c r="Z18" s="372"/>
      <c r="AA18" s="372"/>
      <c r="AB18" s="373"/>
    </row>
    <row r="19" spans="1:28" s="2" customFormat="1" ht="17.25" customHeight="1">
      <c r="A19" s="368" t="s">
        <v>41</v>
      </c>
      <c r="B19" s="369"/>
      <c r="C19" s="369"/>
      <c r="D19" s="370"/>
      <c r="E19" s="374" t="s">
        <v>39</v>
      </c>
      <c r="F19" s="375"/>
      <c r="G19" s="375"/>
      <c r="H19" s="375"/>
      <c r="I19" s="375"/>
      <c r="J19" s="375"/>
      <c r="K19" s="377" t="s">
        <v>42</v>
      </c>
      <c r="L19" s="385"/>
      <c r="M19" s="371" t="s">
        <v>45</v>
      </c>
      <c r="N19" s="382"/>
      <c r="O19" s="382"/>
      <c r="P19" s="382"/>
      <c r="Q19" s="382"/>
      <c r="R19" s="382"/>
      <c r="S19" s="382"/>
      <c r="T19" s="383"/>
      <c r="U19" s="377" t="s">
        <v>43</v>
      </c>
      <c r="V19" s="685"/>
      <c r="W19" s="378" t="s">
        <v>45</v>
      </c>
      <c r="X19" s="379"/>
      <c r="Y19" s="379"/>
      <c r="Z19" s="379"/>
      <c r="AA19" s="379"/>
      <c r="AB19" s="380"/>
    </row>
    <row r="20" spans="1:28" ht="7.35" customHeight="1">
      <c r="A20" s="381"/>
      <c r="B20" s="381"/>
      <c r="C20" s="381"/>
    </row>
    <row r="21" spans="1:28" ht="17.25" customHeight="1">
      <c r="A21" s="429" t="s">
        <v>46</v>
      </c>
      <c r="B21" s="429"/>
      <c r="C21" s="42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row>
    <row r="22" spans="1:28" s="2" customFormat="1" ht="17.25" customHeight="1">
      <c r="A22" s="423" t="s">
        <v>38</v>
      </c>
      <c r="B22" s="424"/>
      <c r="C22" s="424"/>
      <c r="D22" s="425"/>
      <c r="E22" s="371" t="s">
        <v>45</v>
      </c>
      <c r="F22" s="372"/>
      <c r="G22" s="372"/>
      <c r="H22" s="372"/>
      <c r="I22" s="372"/>
      <c r="J22" s="372"/>
      <c r="K22" s="372"/>
      <c r="L22" s="372"/>
      <c r="M22" s="372"/>
      <c r="N22" s="372"/>
      <c r="O22" s="372"/>
      <c r="P22" s="372"/>
      <c r="Q22" s="372"/>
      <c r="R22" s="372"/>
      <c r="S22" s="372"/>
      <c r="T22" s="372"/>
      <c r="U22" s="372"/>
      <c r="V22" s="372"/>
      <c r="W22" s="372"/>
      <c r="X22" s="372"/>
      <c r="Y22" s="372"/>
      <c r="Z22" s="372"/>
      <c r="AA22" s="372"/>
      <c r="AB22" s="373"/>
    </row>
    <row r="23" spans="1:28" s="2" customFormat="1" ht="17.25" customHeight="1">
      <c r="A23" s="423" t="s">
        <v>40</v>
      </c>
      <c r="B23" s="424"/>
      <c r="C23" s="424"/>
      <c r="D23" s="425"/>
      <c r="E23" s="371" t="s">
        <v>45</v>
      </c>
      <c r="F23" s="372"/>
      <c r="G23" s="372"/>
      <c r="H23" s="372"/>
      <c r="I23" s="372"/>
      <c r="J23" s="372"/>
      <c r="K23" s="372"/>
      <c r="L23" s="372"/>
      <c r="M23" s="372"/>
      <c r="N23" s="372"/>
      <c r="O23" s="372"/>
      <c r="P23" s="372"/>
      <c r="Q23" s="372"/>
      <c r="R23" s="372"/>
      <c r="S23" s="372"/>
      <c r="T23" s="372"/>
      <c r="U23" s="372"/>
      <c r="V23" s="372"/>
      <c r="W23" s="372"/>
      <c r="X23" s="372"/>
      <c r="Y23" s="372"/>
      <c r="Z23" s="372"/>
      <c r="AA23" s="372"/>
      <c r="AB23" s="373"/>
    </row>
    <row r="24" spans="1:28" s="2" customFormat="1" ht="17.25" customHeight="1">
      <c r="A24" s="368" t="s">
        <v>41</v>
      </c>
      <c r="B24" s="369"/>
      <c r="C24" s="369"/>
      <c r="D24" s="370"/>
      <c r="E24" s="374" t="s">
        <v>45</v>
      </c>
      <c r="F24" s="375"/>
      <c r="G24" s="375"/>
      <c r="H24" s="375"/>
      <c r="I24" s="375"/>
      <c r="J24" s="375"/>
      <c r="K24" s="377" t="s">
        <v>42</v>
      </c>
      <c r="L24" s="385"/>
      <c r="M24" s="371" t="s">
        <v>45</v>
      </c>
      <c r="N24" s="382"/>
      <c r="O24" s="382"/>
      <c r="P24" s="382"/>
      <c r="Q24" s="382"/>
      <c r="R24" s="382"/>
      <c r="S24" s="382"/>
      <c r="T24" s="383"/>
      <c r="U24" s="377" t="s">
        <v>43</v>
      </c>
      <c r="V24" s="685"/>
      <c r="W24" s="378" t="s">
        <v>45</v>
      </c>
      <c r="X24" s="379"/>
      <c r="Y24" s="379"/>
      <c r="Z24" s="379"/>
      <c r="AA24" s="379"/>
      <c r="AB24" s="380"/>
    </row>
    <row r="25" spans="1:28" ht="7.35" customHeight="1">
      <c r="A25" s="381"/>
      <c r="B25" s="381"/>
      <c r="C25" s="381"/>
    </row>
    <row r="26" spans="1:28" ht="17.25" customHeight="1">
      <c r="A26" s="388" t="s">
        <v>47</v>
      </c>
      <c r="B26" s="389"/>
      <c r="C26" s="389"/>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1"/>
    </row>
    <row r="27" spans="1:28" s="2" customFormat="1" ht="17.25" customHeight="1">
      <c r="A27" s="416" t="s">
        <v>39</v>
      </c>
      <c r="B27" s="371"/>
      <c r="C27" s="371"/>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8"/>
    </row>
    <row r="28" spans="1:28" ht="7.35" customHeight="1">
      <c r="A28" s="381"/>
      <c r="B28" s="381"/>
      <c r="C28" s="381"/>
    </row>
    <row r="29" spans="1:28" ht="17.25" customHeight="1">
      <c r="A29" s="419" t="s">
        <v>48</v>
      </c>
      <c r="B29" s="420"/>
      <c r="C29" s="420"/>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2"/>
    </row>
    <row r="30" spans="1:28" s="2" customFormat="1" ht="17.25" customHeight="1">
      <c r="A30" s="450" t="s">
        <v>39</v>
      </c>
      <c r="B30" s="431"/>
      <c r="C30" s="431"/>
      <c r="D30" s="451"/>
      <c r="E30" s="451"/>
      <c r="F30" s="451"/>
      <c r="G30" s="451"/>
      <c r="H30" s="451"/>
      <c r="I30" s="451"/>
      <c r="J30" s="451"/>
      <c r="K30" s="451"/>
      <c r="L30" s="451"/>
      <c r="M30" s="451"/>
      <c r="N30" s="451"/>
      <c r="O30" s="451"/>
      <c r="P30" s="451"/>
      <c r="Q30" s="451"/>
      <c r="R30" s="451"/>
      <c r="S30" s="451"/>
      <c r="T30" s="451"/>
      <c r="U30" s="451"/>
      <c r="V30" s="451"/>
      <c r="W30" s="451"/>
      <c r="X30" s="451"/>
      <c r="Y30" s="451"/>
      <c r="Z30" s="451"/>
      <c r="AA30" s="451"/>
      <c r="AB30" s="452"/>
    </row>
    <row r="31" spans="1:28" ht="7.35" customHeight="1">
      <c r="A31" s="381"/>
      <c r="B31" s="381"/>
      <c r="C31" s="381"/>
    </row>
    <row r="32" spans="1:28" ht="17.25" customHeight="1">
      <c r="A32" s="429" t="s">
        <v>49</v>
      </c>
      <c r="B32" s="429"/>
      <c r="C32" s="429"/>
      <c r="D32" s="430"/>
      <c r="E32" s="430"/>
      <c r="F32" s="430"/>
      <c r="G32" s="430"/>
      <c r="H32" s="430"/>
      <c r="I32" s="430"/>
      <c r="J32" s="430"/>
      <c r="K32" s="430"/>
      <c r="L32" s="430"/>
      <c r="M32" s="430"/>
      <c r="N32" s="430"/>
      <c r="O32" s="430"/>
      <c r="P32" s="430"/>
      <c r="Q32" s="430"/>
      <c r="R32" s="430"/>
      <c r="S32" s="430"/>
      <c r="T32" s="430"/>
      <c r="U32" s="430"/>
      <c r="V32" s="430"/>
      <c r="W32" s="430"/>
      <c r="X32" s="430"/>
      <c r="Y32" s="430"/>
      <c r="Z32" s="430"/>
      <c r="AA32" s="430"/>
      <c r="AB32" s="430"/>
    </row>
    <row r="33" spans="1:28" s="2" customFormat="1" ht="17.25" customHeight="1">
      <c r="A33" s="423" t="s">
        <v>38</v>
      </c>
      <c r="B33" s="424"/>
      <c r="C33" s="424"/>
      <c r="D33" s="425"/>
      <c r="E33" s="405" t="s">
        <v>39</v>
      </c>
      <c r="F33" s="406"/>
      <c r="G33" s="406"/>
      <c r="H33" s="406"/>
      <c r="I33" s="406"/>
      <c r="J33" s="406"/>
      <c r="K33" s="406"/>
      <c r="L33" s="406"/>
      <c r="M33" s="406"/>
      <c r="N33" s="406"/>
      <c r="O33" s="406"/>
      <c r="P33" s="406"/>
      <c r="Q33" s="406"/>
      <c r="R33" s="406"/>
      <c r="S33" s="406"/>
      <c r="T33" s="406"/>
      <c r="U33" s="406"/>
      <c r="V33" s="406"/>
      <c r="W33" s="406"/>
      <c r="X33" s="406"/>
      <c r="Y33" s="406"/>
      <c r="Z33" s="406"/>
      <c r="AA33" s="406"/>
      <c r="AB33" s="406"/>
    </row>
    <row r="34" spans="1:28" s="2" customFormat="1" ht="17.25" customHeight="1">
      <c r="A34" s="423" t="s">
        <v>40</v>
      </c>
      <c r="B34" s="424"/>
      <c r="C34" s="424"/>
      <c r="D34" s="425"/>
      <c r="E34" s="405" t="s">
        <v>39</v>
      </c>
      <c r="F34" s="406"/>
      <c r="G34" s="406"/>
      <c r="H34" s="406"/>
      <c r="I34" s="406"/>
      <c r="J34" s="406"/>
      <c r="K34" s="406"/>
      <c r="L34" s="406"/>
      <c r="M34" s="406"/>
      <c r="N34" s="406"/>
      <c r="O34" s="406"/>
      <c r="P34" s="406"/>
      <c r="Q34" s="406"/>
      <c r="R34" s="406"/>
      <c r="S34" s="406"/>
      <c r="T34" s="406"/>
      <c r="U34" s="406"/>
      <c r="V34" s="406"/>
      <c r="W34" s="406"/>
      <c r="X34" s="406"/>
      <c r="Y34" s="406"/>
      <c r="Z34" s="406"/>
      <c r="AA34" s="406"/>
      <c r="AB34" s="406"/>
    </row>
    <row r="35" spans="1:28" s="2" customFormat="1" ht="17.25" customHeight="1">
      <c r="A35" s="423" t="s">
        <v>41</v>
      </c>
      <c r="B35" s="424"/>
      <c r="C35" s="424"/>
      <c r="D35" s="425"/>
      <c r="E35" s="405" t="s">
        <v>39</v>
      </c>
      <c r="F35" s="426"/>
      <c r="G35" s="426"/>
      <c r="H35" s="426"/>
      <c r="I35" s="426"/>
      <c r="J35" s="426"/>
      <c r="K35" s="423" t="s">
        <v>42</v>
      </c>
      <c r="L35" s="425"/>
      <c r="M35" s="405" t="s">
        <v>39</v>
      </c>
      <c r="N35" s="426"/>
      <c r="O35" s="426"/>
      <c r="P35" s="426"/>
      <c r="Q35" s="426"/>
      <c r="R35" s="426"/>
      <c r="S35" s="426"/>
      <c r="T35" s="426"/>
      <c r="U35" s="423" t="s">
        <v>43</v>
      </c>
      <c r="V35" s="686"/>
      <c r="W35" s="427" t="s">
        <v>39</v>
      </c>
      <c r="X35" s="428"/>
      <c r="Y35" s="428"/>
      <c r="Z35" s="428"/>
      <c r="AA35" s="428"/>
      <c r="AB35" s="428"/>
    </row>
    <row r="36" spans="1:28" ht="7.35" customHeight="1">
      <c r="A36" s="465"/>
      <c r="B36" s="465"/>
      <c r="C36" s="465"/>
    </row>
    <row r="37" spans="1:28" ht="17.25" customHeight="1">
      <c r="A37" s="388" t="s">
        <v>50</v>
      </c>
      <c r="B37" s="389"/>
      <c r="C37" s="389"/>
      <c r="D37" s="390"/>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1"/>
    </row>
    <row r="38" spans="1:28" s="2" customFormat="1" ht="30" customHeight="1">
      <c r="A38" s="392" t="s">
        <v>51</v>
      </c>
      <c r="B38" s="393"/>
      <c r="C38" s="393"/>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5"/>
    </row>
    <row r="39" spans="1:28" s="2" customFormat="1" ht="30" customHeight="1">
      <c r="A39" s="396"/>
      <c r="B39" s="397"/>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8"/>
    </row>
    <row r="40" spans="1:28" s="2" customFormat="1" ht="30" customHeight="1">
      <c r="A40" s="396"/>
      <c r="B40" s="397"/>
      <c r="C40" s="397"/>
      <c r="D40" s="397"/>
      <c r="E40" s="397"/>
      <c r="F40" s="397"/>
      <c r="G40" s="397"/>
      <c r="H40" s="397"/>
      <c r="I40" s="397"/>
      <c r="J40" s="397"/>
      <c r="K40" s="397"/>
      <c r="L40" s="397"/>
      <c r="M40" s="397"/>
      <c r="N40" s="397"/>
      <c r="O40" s="397"/>
      <c r="P40" s="397"/>
      <c r="Q40" s="397"/>
      <c r="R40" s="397"/>
      <c r="S40" s="397"/>
      <c r="T40" s="397"/>
      <c r="U40" s="397"/>
      <c r="V40" s="397"/>
      <c r="W40" s="397"/>
      <c r="X40" s="397"/>
      <c r="Y40" s="397"/>
      <c r="Z40" s="397"/>
      <c r="AA40" s="397"/>
      <c r="AB40" s="398"/>
    </row>
    <row r="41" spans="1:28" s="2" customFormat="1" ht="30" customHeight="1">
      <c r="A41" s="399"/>
      <c r="B41" s="400"/>
      <c r="C41" s="400"/>
      <c r="D41" s="400"/>
      <c r="E41" s="400"/>
      <c r="F41" s="400"/>
      <c r="G41" s="400"/>
      <c r="H41" s="400"/>
      <c r="I41" s="400"/>
      <c r="J41" s="400"/>
      <c r="K41" s="400"/>
      <c r="L41" s="400"/>
      <c r="M41" s="400"/>
      <c r="N41" s="400"/>
      <c r="O41" s="400"/>
      <c r="P41" s="400"/>
      <c r="Q41" s="400"/>
      <c r="R41" s="400"/>
      <c r="S41" s="400"/>
      <c r="T41" s="400"/>
      <c r="U41" s="400"/>
      <c r="V41" s="400"/>
      <c r="W41" s="400"/>
      <c r="X41" s="400"/>
      <c r="Y41" s="400"/>
      <c r="Z41" s="400"/>
      <c r="AA41" s="400"/>
      <c r="AB41" s="401"/>
    </row>
    <row r="42" spans="1:28" ht="7.35" customHeight="1">
      <c r="A42" s="376"/>
      <c r="B42" s="376"/>
      <c r="C42" s="376"/>
    </row>
    <row r="43" spans="1:28" ht="17.25" customHeight="1">
      <c r="A43" s="366" t="s">
        <v>52</v>
      </c>
      <c r="B43" s="366"/>
      <c r="C43" s="366"/>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row>
    <row r="44" spans="1:28" s="2" customFormat="1" ht="17.25" customHeight="1">
      <c r="A44" s="368" t="s">
        <v>53</v>
      </c>
      <c r="B44" s="368"/>
      <c r="C44" s="377"/>
      <c r="D44" s="371" t="s">
        <v>39</v>
      </c>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3"/>
    </row>
    <row r="45" spans="1:28" s="2" customFormat="1" ht="17.25" customHeight="1">
      <c r="A45" s="377" t="s">
        <v>54</v>
      </c>
      <c r="B45" s="402"/>
      <c r="C45" s="402"/>
      <c r="D45" s="402"/>
      <c r="E45" s="402"/>
      <c r="F45" s="402"/>
      <c r="G45" s="402"/>
      <c r="H45" s="371" t="s">
        <v>39</v>
      </c>
      <c r="I45" s="390"/>
      <c r="J45" s="390"/>
      <c r="K45" s="390"/>
      <c r="L45" s="390"/>
      <c r="M45" s="390"/>
      <c r="N45" s="390"/>
      <c r="O45" s="390"/>
      <c r="P45" s="390"/>
      <c r="Q45" s="390"/>
      <c r="R45" s="390"/>
      <c r="S45" s="390"/>
      <c r="T45" s="390"/>
      <c r="U45" s="390"/>
      <c r="V45" s="390"/>
      <c r="W45" s="390"/>
      <c r="X45" s="390"/>
      <c r="Y45" s="390"/>
      <c r="Z45" s="390"/>
      <c r="AA45" s="390"/>
      <c r="AB45" s="391"/>
    </row>
    <row r="46" spans="1:28" s="2" customFormat="1" ht="17.25" customHeight="1">
      <c r="A46" s="403" t="s">
        <v>55</v>
      </c>
      <c r="B46" s="404"/>
      <c r="C46" s="404"/>
      <c r="D46" s="404"/>
      <c r="E46" s="404"/>
      <c r="F46" s="404"/>
      <c r="G46" s="404"/>
      <c r="H46" s="371" t="s">
        <v>39</v>
      </c>
      <c r="I46" s="390"/>
      <c r="J46" s="390"/>
      <c r="K46" s="390"/>
      <c r="L46" s="390"/>
      <c r="M46" s="390"/>
      <c r="N46" s="390"/>
      <c r="O46" s="390"/>
      <c r="P46" s="390"/>
      <c r="Q46" s="390"/>
      <c r="R46" s="390"/>
      <c r="S46" s="390"/>
      <c r="T46" s="390"/>
      <c r="U46" s="390"/>
      <c r="V46" s="390"/>
      <c r="W46" s="390"/>
      <c r="X46" s="390"/>
      <c r="Y46" s="390"/>
      <c r="Z46" s="390"/>
      <c r="AA46" s="390"/>
      <c r="AB46" s="391"/>
    </row>
    <row r="47" spans="1:28" s="2" customFormat="1" ht="17.25" customHeight="1">
      <c r="A47" s="377" t="s">
        <v>56</v>
      </c>
      <c r="B47" s="384"/>
      <c r="C47" s="384"/>
      <c r="D47" s="385"/>
      <c r="E47" s="385"/>
      <c r="F47" s="385"/>
      <c r="G47" s="385"/>
      <c r="H47" s="371" t="s">
        <v>39</v>
      </c>
      <c r="I47" s="386"/>
      <c r="J47" s="386"/>
      <c r="K47" s="386"/>
      <c r="L47" s="386"/>
      <c r="M47" s="386"/>
      <c r="N47" s="386"/>
      <c r="O47" s="386"/>
      <c r="P47" s="386"/>
      <c r="Q47" s="386"/>
      <c r="R47" s="386"/>
      <c r="S47" s="386"/>
      <c r="T47" s="386"/>
      <c r="U47" s="386"/>
      <c r="V47" s="386"/>
      <c r="W47" s="386"/>
      <c r="X47" s="386"/>
      <c r="Y47" s="386"/>
      <c r="Z47" s="386"/>
      <c r="AA47" s="386"/>
      <c r="AB47" s="387"/>
    </row>
    <row r="48" spans="1:28" ht="49.5" customHeight="1">
      <c r="A48" s="453" t="s">
        <v>57</v>
      </c>
      <c r="B48" s="454"/>
      <c r="C48" s="454"/>
      <c r="D48" s="454"/>
      <c r="E48" s="454"/>
      <c r="F48" s="454"/>
      <c r="G48" s="454"/>
      <c r="H48" s="454"/>
      <c r="I48" s="454"/>
      <c r="J48" s="454"/>
      <c r="K48" s="454"/>
      <c r="L48" s="454"/>
      <c r="M48" s="454"/>
      <c r="N48" s="454"/>
      <c r="O48" s="455"/>
      <c r="P48" s="455"/>
      <c r="Q48" s="455"/>
      <c r="R48" s="455"/>
      <c r="S48" s="455"/>
      <c r="T48" s="678"/>
      <c r="U48"/>
      <c r="V48"/>
      <c r="W48"/>
      <c r="X48"/>
    </row>
    <row r="49" spans="1:49" ht="13.5" customHeight="1">
      <c r="A49" s="456"/>
      <c r="B49" s="456"/>
      <c r="C49" s="456"/>
      <c r="D49" s="456"/>
      <c r="E49" s="456"/>
      <c r="F49" s="456"/>
      <c r="G49" s="456"/>
      <c r="H49" s="456"/>
      <c r="I49" s="456"/>
      <c r="J49" s="456"/>
      <c r="K49" s="456"/>
      <c r="L49" s="456"/>
      <c r="M49" s="456"/>
      <c r="N49" s="456"/>
      <c r="O49" s="457"/>
      <c r="P49" s="457"/>
      <c r="Q49" s="457"/>
      <c r="R49" s="457"/>
      <c r="S49" s="457"/>
      <c r="T49" s="687"/>
      <c r="U49" s="73"/>
      <c r="V49" s="73"/>
      <c r="W49" s="73"/>
      <c r="X49" s="73"/>
    </row>
    <row r="50" spans="1:49" ht="17.25" customHeight="1">
      <c r="A50" s="366" t="s">
        <v>58</v>
      </c>
      <c r="B50" s="366"/>
      <c r="C50" s="366"/>
      <c r="D50" s="366"/>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row>
    <row r="51" spans="1:49" s="2" customFormat="1" ht="26.25" customHeight="1">
      <c r="A51" s="3" t="s">
        <v>59</v>
      </c>
      <c r="B51" s="468" t="s">
        <v>60</v>
      </c>
      <c r="C51" s="402"/>
      <c r="D51" s="402"/>
      <c r="E51" s="402"/>
      <c r="F51" s="402"/>
      <c r="G51" s="402"/>
      <c r="H51" s="402"/>
      <c r="I51" s="402"/>
      <c r="J51" s="402"/>
      <c r="K51" s="402"/>
      <c r="L51" s="402"/>
      <c r="M51" s="402"/>
      <c r="N51" s="402"/>
      <c r="O51" s="402"/>
      <c r="P51" s="402"/>
      <c r="Q51" s="402"/>
      <c r="R51" s="402"/>
      <c r="S51" s="402"/>
      <c r="T51" s="402"/>
      <c r="U51" s="402"/>
      <c r="V51" s="469"/>
      <c r="W51" s="368" t="s">
        <v>61</v>
      </c>
      <c r="X51" s="449"/>
      <c r="Y51" s="449"/>
      <c r="Z51" s="368" t="s">
        <v>62</v>
      </c>
      <c r="AA51" s="449"/>
      <c r="AB51" s="449"/>
    </row>
    <row r="52" spans="1:49" s="2" customFormat="1" ht="26.25" customHeight="1">
      <c r="A52" s="3" t="s">
        <v>59</v>
      </c>
      <c r="B52" s="468" t="s">
        <v>63</v>
      </c>
      <c r="C52" s="402"/>
      <c r="D52" s="402"/>
      <c r="E52" s="402"/>
      <c r="F52" s="402"/>
      <c r="G52" s="402"/>
      <c r="H52" s="402"/>
      <c r="I52" s="402"/>
      <c r="J52" s="402"/>
      <c r="K52" s="402"/>
      <c r="L52" s="402"/>
      <c r="M52" s="402"/>
      <c r="N52" s="402"/>
      <c r="O52" s="402"/>
      <c r="P52" s="402"/>
      <c r="Q52" s="402"/>
      <c r="R52" s="402"/>
      <c r="S52" s="402"/>
      <c r="T52" s="402"/>
      <c r="U52" s="402"/>
      <c r="V52" s="391"/>
      <c r="W52" s="368" t="s">
        <v>61</v>
      </c>
      <c r="X52" s="449"/>
      <c r="Y52" s="449"/>
      <c r="Z52" s="368" t="s">
        <v>62</v>
      </c>
      <c r="AA52" s="449"/>
      <c r="AB52" s="449"/>
    </row>
    <row r="53" spans="1:49" s="2" customFormat="1" ht="26.25" customHeight="1">
      <c r="A53" s="3" t="s">
        <v>59</v>
      </c>
      <c r="B53" s="468" t="s">
        <v>64</v>
      </c>
      <c r="C53" s="402"/>
      <c r="D53" s="402"/>
      <c r="E53" s="402"/>
      <c r="F53" s="402"/>
      <c r="G53" s="402"/>
      <c r="H53" s="402"/>
      <c r="I53" s="402"/>
      <c r="J53" s="402"/>
      <c r="K53" s="402"/>
      <c r="L53" s="402"/>
      <c r="M53" s="402"/>
      <c r="N53" s="402"/>
      <c r="O53" s="402"/>
      <c r="P53" s="402"/>
      <c r="Q53" s="402"/>
      <c r="R53" s="402"/>
      <c r="S53" s="402"/>
      <c r="T53" s="402"/>
      <c r="U53" s="402"/>
      <c r="V53" s="391"/>
      <c r="W53" s="368" t="s">
        <v>61</v>
      </c>
      <c r="X53" s="449"/>
      <c r="Y53" s="449"/>
      <c r="Z53" s="368" t="s">
        <v>62</v>
      </c>
      <c r="AA53" s="449"/>
      <c r="AB53" s="449"/>
    </row>
    <row r="54" spans="1:49" s="2" customFormat="1" ht="26.25" customHeight="1">
      <c r="A54" s="3" t="s">
        <v>59</v>
      </c>
      <c r="B54" s="468" t="s">
        <v>65</v>
      </c>
      <c r="C54" s="402"/>
      <c r="D54" s="402"/>
      <c r="E54" s="402"/>
      <c r="F54" s="402"/>
      <c r="G54" s="402"/>
      <c r="H54" s="402"/>
      <c r="I54" s="402"/>
      <c r="J54" s="402"/>
      <c r="K54" s="402"/>
      <c r="L54" s="402"/>
      <c r="M54" s="402"/>
      <c r="N54" s="402"/>
      <c r="O54" s="402"/>
      <c r="P54" s="402"/>
      <c r="Q54" s="402"/>
      <c r="R54" s="402"/>
      <c r="S54" s="402"/>
      <c r="T54" s="402"/>
      <c r="U54" s="402"/>
      <c r="V54" s="391"/>
      <c r="W54" s="368" t="s">
        <v>61</v>
      </c>
      <c r="X54" s="449"/>
      <c r="Y54" s="449"/>
      <c r="Z54" s="368" t="s">
        <v>62</v>
      </c>
      <c r="AA54" s="449"/>
      <c r="AB54" s="449"/>
    </row>
    <row r="55" spans="1:49" s="2" customFormat="1" ht="26.25" customHeight="1">
      <c r="A55" s="3" t="s">
        <v>59</v>
      </c>
      <c r="B55" s="468" t="s">
        <v>66</v>
      </c>
      <c r="C55" s="402"/>
      <c r="D55" s="402"/>
      <c r="E55" s="402"/>
      <c r="F55" s="402"/>
      <c r="G55" s="402"/>
      <c r="H55" s="402"/>
      <c r="I55" s="402"/>
      <c r="J55" s="402"/>
      <c r="K55" s="402"/>
      <c r="L55" s="402"/>
      <c r="M55" s="402"/>
      <c r="N55" s="402"/>
      <c r="O55" s="402"/>
      <c r="P55" s="402"/>
      <c r="Q55" s="402"/>
      <c r="R55" s="402"/>
      <c r="S55" s="402"/>
      <c r="T55" s="402"/>
      <c r="U55" s="402"/>
      <c r="V55" s="391"/>
      <c r="W55" s="368" t="s">
        <v>61</v>
      </c>
      <c r="X55" s="449"/>
      <c r="Y55" s="449"/>
      <c r="Z55" s="368" t="s">
        <v>62</v>
      </c>
      <c r="AA55" s="449"/>
      <c r="AB55" s="449"/>
    </row>
    <row r="56" spans="1:49" s="2" customFormat="1" ht="26.25" customHeight="1">
      <c r="A56" s="3" t="s">
        <v>59</v>
      </c>
      <c r="B56" s="468" t="s">
        <v>67</v>
      </c>
      <c r="C56" s="402"/>
      <c r="D56" s="402"/>
      <c r="E56" s="402"/>
      <c r="F56" s="402"/>
      <c r="G56" s="402"/>
      <c r="H56" s="402"/>
      <c r="I56" s="402"/>
      <c r="J56" s="402"/>
      <c r="K56" s="402"/>
      <c r="L56" s="402"/>
      <c r="M56" s="402"/>
      <c r="N56" s="402"/>
      <c r="O56" s="402"/>
      <c r="P56" s="402"/>
      <c r="Q56" s="402"/>
      <c r="R56" s="402"/>
      <c r="S56" s="402"/>
      <c r="T56" s="402"/>
      <c r="U56" s="402"/>
      <c r="V56" s="391"/>
      <c r="W56" s="368" t="s">
        <v>61</v>
      </c>
      <c r="X56" s="449"/>
      <c r="Y56" s="449"/>
      <c r="Z56" s="368" t="s">
        <v>62</v>
      </c>
      <c r="AA56" s="449"/>
      <c r="AB56" s="449"/>
    </row>
    <row r="57" spans="1:49" s="2" customFormat="1" ht="26.25" customHeight="1">
      <c r="A57" s="3" t="s">
        <v>59</v>
      </c>
      <c r="B57" s="468" t="s">
        <v>68</v>
      </c>
      <c r="C57" s="402"/>
      <c r="D57" s="402"/>
      <c r="E57" s="402"/>
      <c r="F57" s="402"/>
      <c r="G57" s="402"/>
      <c r="H57" s="402"/>
      <c r="I57" s="402"/>
      <c r="J57" s="402"/>
      <c r="K57" s="402"/>
      <c r="L57" s="402"/>
      <c r="M57" s="402"/>
      <c r="N57" s="402"/>
      <c r="O57" s="402"/>
      <c r="P57" s="402"/>
      <c r="Q57" s="402"/>
      <c r="R57" s="402"/>
      <c r="S57" s="402"/>
      <c r="T57" s="402"/>
      <c r="U57" s="402"/>
      <c r="V57" s="391"/>
      <c r="W57" s="368" t="s">
        <v>61</v>
      </c>
      <c r="X57" s="449"/>
      <c r="Y57" s="449"/>
      <c r="Z57" s="368" t="s">
        <v>62</v>
      </c>
      <c r="AA57" s="449"/>
      <c r="AB57" s="449"/>
    </row>
    <row r="58" spans="1:49" s="2" customFormat="1" ht="26.25" customHeight="1">
      <c r="A58" s="3" t="s">
        <v>59</v>
      </c>
      <c r="B58" s="468" t="s">
        <v>69</v>
      </c>
      <c r="C58" s="402"/>
      <c r="D58" s="402"/>
      <c r="E58" s="402"/>
      <c r="F58" s="402"/>
      <c r="G58" s="402"/>
      <c r="H58" s="402"/>
      <c r="I58" s="402"/>
      <c r="J58" s="402"/>
      <c r="K58" s="402"/>
      <c r="L58" s="402"/>
      <c r="M58" s="402"/>
      <c r="N58" s="402"/>
      <c r="O58" s="402"/>
      <c r="P58" s="402"/>
      <c r="Q58" s="402"/>
      <c r="R58" s="402"/>
      <c r="S58" s="402"/>
      <c r="T58" s="402"/>
      <c r="U58" s="402"/>
      <c r="V58" s="391"/>
      <c r="W58" s="368" t="s">
        <v>61</v>
      </c>
      <c r="X58" s="449"/>
      <c r="Y58" s="449"/>
      <c r="Z58" s="368" t="s">
        <v>62</v>
      </c>
      <c r="AA58" s="449"/>
      <c r="AB58" s="449"/>
    </row>
    <row r="59" spans="1:49" ht="5.85" customHeight="1">
      <c r="A59" s="381"/>
      <c r="B59" s="381"/>
      <c r="C59" s="381"/>
      <c r="D59" s="381"/>
      <c r="E59"/>
      <c r="F59"/>
      <c r="G59"/>
      <c r="AC59" s="2"/>
      <c r="AD59" s="2"/>
      <c r="AE59" s="2"/>
      <c r="AF59" s="2"/>
      <c r="AG59" s="2"/>
      <c r="AH59" s="2"/>
      <c r="AI59" s="2"/>
      <c r="AJ59" s="2"/>
      <c r="AK59" s="2"/>
      <c r="AL59" s="2"/>
      <c r="AM59" s="2"/>
      <c r="AN59" s="2"/>
      <c r="AO59" s="2"/>
      <c r="AP59" s="2"/>
      <c r="AQ59" s="2"/>
      <c r="AR59" s="2"/>
      <c r="AS59" s="2"/>
      <c r="AT59" s="2"/>
      <c r="AU59" s="2"/>
      <c r="AV59" s="2"/>
      <c r="AW59" s="2"/>
    </row>
    <row r="60" spans="1:49" ht="17.25" customHeight="1">
      <c r="A60" s="388" t="s">
        <v>70</v>
      </c>
      <c r="B60" s="389"/>
      <c r="C60" s="389"/>
      <c r="D60" s="389"/>
      <c r="E60" s="458"/>
      <c r="F60" s="458"/>
      <c r="G60" s="458"/>
      <c r="H60" s="458"/>
      <c r="I60" s="458"/>
      <c r="J60" s="458"/>
      <c r="K60" s="458"/>
      <c r="L60" s="458"/>
      <c r="M60" s="458"/>
      <c r="N60" s="458"/>
      <c r="O60" s="458"/>
      <c r="P60" s="458"/>
      <c r="Q60" s="458"/>
      <c r="R60" s="458"/>
      <c r="S60" s="458"/>
      <c r="T60" s="458"/>
      <c r="U60" s="458"/>
      <c r="V60" s="458"/>
      <c r="W60" s="458"/>
      <c r="X60" s="458"/>
      <c r="Y60" s="458"/>
      <c r="Z60" s="458"/>
      <c r="AA60" s="458"/>
      <c r="AB60" s="459"/>
    </row>
    <row r="61" spans="1:49" s="2" customFormat="1" ht="35.25" customHeight="1">
      <c r="A61" s="377" t="s">
        <v>71</v>
      </c>
      <c r="B61" s="384"/>
      <c r="C61" s="384"/>
      <c r="D61" s="384"/>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460"/>
    </row>
    <row r="62" spans="1:49" ht="5.85" customHeight="1">
      <c r="A62" s="465"/>
      <c r="B62" s="465"/>
      <c r="C62" s="465"/>
      <c r="D62" s="465"/>
      <c r="E62"/>
      <c r="F62"/>
      <c r="G62"/>
    </row>
    <row r="63" spans="1:49" ht="17.25" customHeight="1">
      <c r="A63" s="429" t="s">
        <v>72</v>
      </c>
      <c r="B63" s="429"/>
      <c r="C63" s="429"/>
      <c r="D63" s="429"/>
      <c r="E63" s="430"/>
      <c r="F63" s="430"/>
      <c r="G63" s="430"/>
      <c r="H63" s="430"/>
      <c r="I63" s="430"/>
      <c r="J63" s="430"/>
      <c r="K63" s="430"/>
      <c r="L63" s="430"/>
      <c r="M63" s="430"/>
      <c r="N63" s="430"/>
      <c r="O63" s="430"/>
      <c r="P63" s="430"/>
      <c r="Q63" s="430"/>
      <c r="R63" s="430"/>
      <c r="S63" s="430"/>
      <c r="T63" s="430"/>
      <c r="U63" s="430"/>
      <c r="V63" s="430"/>
      <c r="W63" s="430"/>
      <c r="X63" s="430"/>
      <c r="Y63" s="430"/>
      <c r="Z63" s="430"/>
      <c r="AA63" s="430"/>
      <c r="AB63" s="430"/>
    </row>
    <row r="64" spans="1:49" s="2" customFormat="1" ht="5.85" customHeight="1">
      <c r="A64" s="470"/>
      <c r="B64" s="471"/>
      <c r="C64" s="471"/>
      <c r="D64" s="471"/>
      <c r="E64" s="4"/>
      <c r="F64" s="4"/>
      <c r="G64" s="4"/>
      <c r="H64" s="4"/>
      <c r="I64" s="4"/>
      <c r="J64" s="4"/>
      <c r="K64" s="4"/>
      <c r="L64" s="4"/>
      <c r="M64" s="4"/>
      <c r="N64" s="4"/>
      <c r="O64" s="4"/>
      <c r="P64" s="4"/>
      <c r="Q64" s="4"/>
      <c r="R64" s="4"/>
      <c r="S64" s="4"/>
      <c r="T64" s="4"/>
      <c r="U64" s="4"/>
      <c r="V64" s="4"/>
      <c r="W64" s="4"/>
      <c r="X64" s="4"/>
      <c r="Y64" s="4"/>
      <c r="Z64" s="4"/>
      <c r="AA64" s="4"/>
      <c r="AB64" s="5"/>
    </row>
    <row r="65" spans="1:37" s="2" customFormat="1" ht="19.5" customHeight="1">
      <c r="A65" s="461" t="s">
        <v>73</v>
      </c>
      <c r="B65" s="462"/>
      <c r="C65" s="462"/>
      <c r="D65" s="462"/>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4"/>
    </row>
    <row r="66" spans="1:37" s="2" customFormat="1" ht="15.75" customHeight="1">
      <c r="A66" s="6" t="s">
        <v>59</v>
      </c>
      <c r="B66" s="443" t="s">
        <v>74</v>
      </c>
      <c r="C66" s="444"/>
      <c r="D66" s="444"/>
      <c r="E66" s="444"/>
      <c r="F66" s="444"/>
      <c r="G66" s="444"/>
      <c r="H66" s="444"/>
      <c r="I66" s="444"/>
      <c r="J66" s="444"/>
      <c r="K66" s="444"/>
      <c r="L66" s="444"/>
      <c r="M66" s="444"/>
      <c r="N66" s="444"/>
      <c r="O66" s="444"/>
      <c r="P66" s="444"/>
      <c r="Q66" s="444"/>
      <c r="R66" s="444"/>
      <c r="S66" s="444"/>
      <c r="T66" s="444"/>
      <c r="U66" s="444"/>
      <c r="V66" s="444"/>
      <c r="W66" s="444"/>
      <c r="X66" s="444"/>
      <c r="Y66" s="444"/>
      <c r="Z66" s="444"/>
      <c r="AA66" s="444"/>
      <c r="AB66" s="445"/>
    </row>
    <row r="67" spans="1:37" s="2" customFormat="1" ht="35.25" customHeight="1">
      <c r="A67" s="6" t="s">
        <v>59</v>
      </c>
      <c r="B67" s="443" t="s">
        <v>75</v>
      </c>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5"/>
    </row>
    <row r="68" spans="1:37" s="2" customFormat="1" ht="36.75" customHeight="1">
      <c r="A68" s="6" t="s">
        <v>59</v>
      </c>
      <c r="B68" s="443" t="s">
        <v>76</v>
      </c>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5"/>
    </row>
    <row r="69" spans="1:37" s="2" customFormat="1" ht="26.25" customHeight="1">
      <c r="A69" s="6" t="s">
        <v>59</v>
      </c>
      <c r="B69" s="443" t="s">
        <v>77</v>
      </c>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444"/>
      <c r="AA69" s="444"/>
      <c r="AB69" s="445"/>
    </row>
    <row r="70" spans="1:37" s="2" customFormat="1" ht="18" customHeight="1">
      <c r="A70" s="6" t="s">
        <v>59</v>
      </c>
      <c r="B70" s="363" t="s">
        <v>78</v>
      </c>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5"/>
    </row>
    <row r="71" spans="1:37" s="2" customFormat="1" ht="26.25" customHeight="1">
      <c r="A71" s="6" t="s">
        <v>59</v>
      </c>
      <c r="B71" s="443" t="s">
        <v>79</v>
      </c>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444"/>
      <c r="AB71" s="445"/>
    </row>
    <row r="72" spans="1:37" s="2" customFormat="1" ht="36" customHeight="1">
      <c r="A72" s="6" t="s">
        <v>59</v>
      </c>
      <c r="B72" s="443" t="s">
        <v>80</v>
      </c>
      <c r="C72" s="444"/>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5"/>
    </row>
    <row r="73" spans="1:37" s="2" customFormat="1" ht="6.75" customHeight="1">
      <c r="A73" s="446"/>
      <c r="B73" s="447"/>
      <c r="C73" s="447"/>
      <c r="D73" s="447"/>
      <c r="AB73" s="7"/>
    </row>
    <row r="74" spans="1:37" s="2" customFormat="1" ht="30" customHeight="1">
      <c r="A74" s="440" t="s">
        <v>81</v>
      </c>
      <c r="B74" s="448"/>
      <c r="C74" s="448"/>
      <c r="D74" s="448"/>
      <c r="E74" s="431" t="s">
        <v>39</v>
      </c>
      <c r="F74" s="432"/>
      <c r="G74" s="432"/>
      <c r="H74" s="432"/>
      <c r="I74" s="432"/>
      <c r="J74" s="432"/>
      <c r="K74" s="432"/>
      <c r="L74" s="432"/>
      <c r="M74" s="432"/>
      <c r="N74" s="432"/>
      <c r="O74" s="433"/>
      <c r="P74" s="440" t="s">
        <v>82</v>
      </c>
      <c r="Q74" s="442"/>
      <c r="R74" s="442"/>
      <c r="S74" s="441"/>
      <c r="T74" s="441"/>
      <c r="U74" s="437"/>
      <c r="V74" s="438"/>
      <c r="W74" s="438"/>
      <c r="X74" s="438"/>
      <c r="Y74" s="438"/>
      <c r="Z74" s="438"/>
      <c r="AA74" s="438"/>
      <c r="AB74" s="439"/>
    </row>
    <row r="75" spans="1:37" s="2" customFormat="1" ht="30" customHeight="1">
      <c r="A75" s="440" t="s">
        <v>83</v>
      </c>
      <c r="B75" s="441"/>
      <c r="C75" s="441"/>
      <c r="D75" s="431" t="s">
        <v>39</v>
      </c>
      <c r="E75" s="432"/>
      <c r="F75" s="432"/>
      <c r="G75" s="432"/>
      <c r="H75" s="432"/>
      <c r="I75" s="432"/>
      <c r="J75" s="432"/>
      <c r="K75" s="432"/>
      <c r="L75" s="432"/>
      <c r="M75" s="432"/>
      <c r="N75" s="432"/>
      <c r="O75" s="433"/>
      <c r="P75" s="440" t="s">
        <v>84</v>
      </c>
      <c r="Q75" s="441"/>
      <c r="R75" s="434" t="s">
        <v>39</v>
      </c>
      <c r="S75" s="435"/>
      <c r="T75" s="435"/>
      <c r="U75" s="435"/>
      <c r="V75" s="435"/>
      <c r="W75" s="435"/>
      <c r="X75" s="435"/>
      <c r="Y75" s="435"/>
      <c r="Z75" s="435"/>
      <c r="AA75" s="435"/>
      <c r="AB75" s="436"/>
    </row>
    <row r="76" spans="1:37" s="2" customFormat="1" ht="6.75" customHeight="1">
      <c r="A76" s="39"/>
      <c r="B76" s="40"/>
      <c r="C76" s="40"/>
      <c r="D76" s="41"/>
      <c r="E76" s="42"/>
      <c r="F76" s="42"/>
      <c r="G76" s="42"/>
      <c r="H76" s="42"/>
      <c r="I76" s="42"/>
      <c r="J76" s="42"/>
      <c r="K76" s="42"/>
      <c r="L76" s="42"/>
      <c r="M76" s="42"/>
      <c r="N76" s="42"/>
      <c r="O76" s="42"/>
      <c r="P76" s="39"/>
      <c r="Q76" s="40"/>
      <c r="R76" s="43"/>
      <c r="S76" s="44"/>
      <c r="T76" s="44"/>
      <c r="U76" s="44"/>
      <c r="V76" s="44"/>
      <c r="W76" s="44"/>
      <c r="X76" s="44"/>
      <c r="Y76" s="44"/>
      <c r="Z76" s="44"/>
      <c r="AA76" s="44"/>
      <c r="AB76" s="44"/>
    </row>
    <row r="77" spans="1:37" ht="23.25" customHeight="1">
      <c r="A77" s="74" t="s">
        <v>85</v>
      </c>
      <c r="B77"/>
      <c r="C77"/>
      <c r="D77"/>
      <c r="E77"/>
      <c r="F77"/>
      <c r="G77"/>
      <c r="AE77" s="2"/>
      <c r="AF77"/>
      <c r="AG77"/>
      <c r="AH77"/>
      <c r="AI77"/>
      <c r="AJ77"/>
      <c r="AK77"/>
    </row>
    <row r="78" spans="1:37" ht="16.5" customHeight="1">
      <c r="A78" s="362" t="s">
        <v>86</v>
      </c>
      <c r="B78" s="678"/>
      <c r="C78" s="678"/>
      <c r="D78" s="678"/>
      <c r="E78" s="678"/>
      <c r="F78" s="678"/>
      <c r="G78" s="678"/>
      <c r="H78" s="678"/>
      <c r="I78" s="678"/>
      <c r="J78" s="678"/>
      <c r="K78" s="678"/>
      <c r="L78" s="365" t="s">
        <v>87</v>
      </c>
      <c r="M78" s="678"/>
      <c r="N78" s="678"/>
      <c r="O78" s="678"/>
      <c r="P78" s="678"/>
      <c r="Q78" s="678"/>
      <c r="R78" s="678"/>
      <c r="S78" s="678"/>
      <c r="T78" s="678"/>
      <c r="U78" s="678"/>
      <c r="V78" s="678"/>
      <c r="W78" s="678"/>
      <c r="X78" s="678"/>
      <c r="Y78" s="678"/>
      <c r="Z78" s="678"/>
      <c r="AA78" s="678"/>
      <c r="AB78" s="678"/>
      <c r="AE78" s="2"/>
      <c r="AF78"/>
      <c r="AG78"/>
      <c r="AH78"/>
      <c r="AI78"/>
      <c r="AJ78"/>
      <c r="AK78"/>
    </row>
    <row r="79" spans="1:37" ht="16.5" customHeight="1">
      <c r="A79" s="363" t="s">
        <v>88</v>
      </c>
      <c r="B79" s="364"/>
      <c r="C79" s="364"/>
      <c r="D79" s="364"/>
      <c r="E79" s="364"/>
      <c r="F79" s="364"/>
      <c r="G79" s="364"/>
      <c r="H79" s="364"/>
      <c r="I79" s="364"/>
      <c r="J79" s="364"/>
      <c r="K79" s="364"/>
      <c r="L79" s="678"/>
      <c r="M79" s="678"/>
      <c r="N79" s="678"/>
      <c r="O79" s="678"/>
      <c r="P79" s="678"/>
      <c r="Q79" s="678"/>
      <c r="R79" s="678"/>
      <c r="S79" s="678"/>
      <c r="T79" s="678"/>
      <c r="U79" s="678"/>
      <c r="V79" s="678"/>
      <c r="W79" s="678"/>
      <c r="X79" s="678"/>
      <c r="Y79" s="678"/>
      <c r="Z79" s="678"/>
      <c r="AA79" s="678"/>
      <c r="AB79" s="678"/>
      <c r="AE79" s="2"/>
      <c r="AF79"/>
      <c r="AG79"/>
      <c r="AH79"/>
      <c r="AI79"/>
      <c r="AJ79"/>
      <c r="AK79"/>
    </row>
    <row r="80" spans="1:37" ht="16.5" customHeight="1">
      <c r="A80" s="364"/>
      <c r="B80" s="364"/>
      <c r="C80" s="364"/>
      <c r="D80" s="364"/>
      <c r="E80" s="364"/>
      <c r="F80" s="364"/>
      <c r="G80" s="364"/>
      <c r="H80" s="364"/>
      <c r="I80" s="364"/>
      <c r="J80" s="364"/>
      <c r="K80" s="364"/>
      <c r="L80" s="678"/>
      <c r="M80" s="678"/>
      <c r="N80" s="678"/>
      <c r="O80" s="678"/>
      <c r="P80" s="678"/>
      <c r="Q80" s="678"/>
      <c r="R80" s="678"/>
      <c r="S80" s="678"/>
      <c r="T80" s="678"/>
      <c r="U80" s="678"/>
      <c r="V80" s="678"/>
      <c r="W80" s="678"/>
      <c r="X80" s="678"/>
      <c r="Y80" s="678"/>
      <c r="Z80" s="678"/>
      <c r="AA80" s="678"/>
      <c r="AB80" s="678"/>
      <c r="AE80" s="2"/>
      <c r="AF80"/>
      <c r="AG80"/>
      <c r="AH80"/>
      <c r="AI80"/>
      <c r="AJ80"/>
      <c r="AK80"/>
    </row>
    <row r="81" spans="1:37" ht="16.5" customHeight="1">
      <c r="A81" s="364"/>
      <c r="B81" s="364"/>
      <c r="C81" s="364"/>
      <c r="D81" s="364"/>
      <c r="E81" s="364"/>
      <c r="F81" s="364"/>
      <c r="G81" s="364"/>
      <c r="H81" s="364"/>
      <c r="I81" s="364"/>
      <c r="J81" s="364"/>
      <c r="K81" s="364"/>
      <c r="L81" s="678"/>
      <c r="M81" s="678"/>
      <c r="N81" s="678"/>
      <c r="O81" s="678"/>
      <c r="P81" s="678"/>
      <c r="Q81" s="678"/>
      <c r="R81" s="678"/>
      <c r="S81" s="678"/>
      <c r="T81" s="678"/>
      <c r="U81" s="678"/>
      <c r="V81" s="678"/>
      <c r="W81" s="678"/>
      <c r="X81" s="678"/>
      <c r="Y81" s="678"/>
      <c r="Z81" s="678"/>
      <c r="AA81" s="678"/>
      <c r="AB81" s="678"/>
      <c r="AE81" s="2"/>
      <c r="AF81"/>
      <c r="AG81"/>
      <c r="AH81"/>
      <c r="AI81"/>
      <c r="AJ81"/>
      <c r="AK81"/>
    </row>
    <row r="82" spans="1:37" ht="16.5" customHeight="1">
      <c r="A82" s="364"/>
      <c r="B82" s="364"/>
      <c r="C82" s="364"/>
      <c r="D82" s="364"/>
      <c r="E82" s="364"/>
      <c r="F82" s="364"/>
      <c r="G82" s="364"/>
      <c r="H82" s="364"/>
      <c r="I82" s="364"/>
      <c r="J82" s="364"/>
      <c r="K82" s="364"/>
      <c r="L82" s="678"/>
      <c r="M82" s="678"/>
      <c r="N82" s="678"/>
      <c r="O82" s="678"/>
      <c r="P82" s="678"/>
      <c r="Q82" s="678"/>
      <c r="R82" s="678"/>
      <c r="S82" s="678"/>
      <c r="T82" s="678"/>
      <c r="U82" s="678"/>
      <c r="V82" s="678"/>
      <c r="W82" s="678"/>
      <c r="X82" s="678"/>
      <c r="Y82" s="678"/>
      <c r="Z82" s="678"/>
      <c r="AA82" s="678"/>
      <c r="AB82" s="678"/>
      <c r="AE82" s="8"/>
      <c r="AF82"/>
      <c r="AG82"/>
      <c r="AH82"/>
      <c r="AI82"/>
      <c r="AJ82"/>
      <c r="AK82"/>
    </row>
    <row r="83" spans="1:37">
      <c r="A83" s="364"/>
      <c r="B83" s="364"/>
      <c r="C83" s="364"/>
      <c r="D83" s="364"/>
      <c r="E83" s="364"/>
      <c r="F83" s="364"/>
      <c r="G83" s="364"/>
      <c r="H83" s="364"/>
      <c r="I83" s="364"/>
      <c r="J83" s="364"/>
      <c r="K83" s="364"/>
      <c r="L83" s="678"/>
      <c r="M83" s="678"/>
      <c r="N83" s="678"/>
      <c r="O83" s="678"/>
      <c r="P83" s="678"/>
      <c r="Q83" s="678"/>
      <c r="R83" s="678"/>
      <c r="S83" s="678"/>
      <c r="T83" s="678"/>
      <c r="U83" s="678"/>
      <c r="V83" s="678"/>
      <c r="W83" s="678"/>
      <c r="X83" s="678"/>
      <c r="Y83" s="678"/>
      <c r="Z83" s="678"/>
      <c r="AA83" s="678"/>
      <c r="AB83" s="678"/>
    </row>
    <row r="86" spans="1:37" ht="51.75" customHeight="1">
      <c r="A86" s="453" t="s">
        <v>57</v>
      </c>
      <c r="B86" s="454"/>
      <c r="C86" s="454"/>
      <c r="D86" s="454"/>
      <c r="E86" s="454"/>
      <c r="F86" s="454"/>
      <c r="G86" s="454"/>
      <c r="H86" s="454"/>
      <c r="I86" s="454"/>
      <c r="J86" s="454"/>
      <c r="K86" s="454"/>
      <c r="L86" s="454"/>
      <c r="M86" s="454"/>
      <c r="N86" s="454"/>
      <c r="O86" s="455"/>
      <c r="P86" s="455"/>
      <c r="Q86" s="455"/>
      <c r="R86" s="455"/>
      <c r="S86" s="455"/>
      <c r="T86" s="678"/>
      <c r="U86"/>
      <c r="V86"/>
      <c r="W86"/>
      <c r="X86"/>
    </row>
    <row r="87" spans="1:37" ht="12.75" customHeight="1">
      <c r="A87" s="453"/>
      <c r="B87" s="454"/>
      <c r="C87" s="454"/>
      <c r="D87" s="454"/>
      <c r="E87" s="454"/>
      <c r="F87" s="454"/>
      <c r="G87" s="454"/>
      <c r="H87" s="454"/>
      <c r="I87" s="454"/>
      <c r="J87" s="454"/>
      <c r="K87" s="454"/>
      <c r="L87" s="454"/>
      <c r="M87" s="454"/>
      <c r="N87" s="454"/>
      <c r="O87" s="455"/>
      <c r="P87" s="455"/>
      <c r="Q87" s="455"/>
      <c r="R87" s="455"/>
      <c r="S87" s="455"/>
      <c r="T87" s="678"/>
      <c r="U87"/>
      <c r="V87"/>
      <c r="W87"/>
      <c r="X87"/>
    </row>
    <row r="88" spans="1:37" ht="13.5" customHeight="1">
      <c r="A88" s="454"/>
      <c r="B88" s="454"/>
      <c r="C88" s="454"/>
      <c r="D88" s="454"/>
      <c r="E88" s="454"/>
      <c r="F88" s="454"/>
      <c r="G88" s="454"/>
      <c r="H88" s="454"/>
      <c r="I88" s="454"/>
      <c r="J88" s="454"/>
      <c r="K88" s="454"/>
      <c r="L88" s="454"/>
      <c r="M88" s="454"/>
      <c r="N88" s="454"/>
      <c r="O88" s="455"/>
      <c r="P88" s="455"/>
      <c r="Q88" s="455"/>
      <c r="R88" s="455"/>
      <c r="S88" s="455"/>
      <c r="T88" s="678"/>
      <c r="U88" s="466" t="s">
        <v>89</v>
      </c>
      <c r="V88" s="466"/>
      <c r="W88" s="466"/>
      <c r="X88" s="466"/>
      <c r="Y88" s="466"/>
      <c r="Z88" s="466"/>
      <c r="AA88" s="466"/>
      <c r="AB88" s="467" t="s">
        <v>90</v>
      </c>
    </row>
    <row r="89" spans="1:37" ht="12.75" customHeight="1">
      <c r="U89" s="466"/>
      <c r="V89" s="466"/>
      <c r="W89" s="466"/>
      <c r="X89" s="466"/>
      <c r="Y89" s="466"/>
      <c r="Z89" s="466"/>
      <c r="AA89" s="466"/>
      <c r="AB89" s="678"/>
    </row>
    <row r="90" spans="1:37" ht="12.75" customHeight="1">
      <c r="U90" s="466"/>
      <c r="V90" s="466"/>
      <c r="W90" s="466"/>
      <c r="X90" s="466"/>
      <c r="Y90" s="466"/>
      <c r="Z90" s="466"/>
      <c r="AA90" s="466"/>
      <c r="AB90" s="678"/>
    </row>
    <row r="91" spans="1:37" ht="12.75" customHeight="1">
      <c r="U91" s="466"/>
      <c r="V91" s="466"/>
      <c r="W91" s="466"/>
      <c r="X91" s="466"/>
      <c r="Y91" s="466"/>
      <c r="Z91" s="466"/>
      <c r="AA91" s="466"/>
      <c r="AB91" s="678"/>
    </row>
    <row r="92" spans="1:37" ht="12.75" customHeight="1">
      <c r="U92" s="466"/>
      <c r="V92" s="466"/>
      <c r="W92" s="466"/>
      <c r="X92" s="466"/>
      <c r="Y92" s="466"/>
      <c r="Z92" s="466"/>
      <c r="AA92" s="466"/>
      <c r="AB92" s="678"/>
    </row>
    <row r="93" spans="1:37" ht="12.75" customHeight="1">
      <c r="U93" s="466"/>
      <c r="V93" s="466"/>
      <c r="W93" s="466"/>
      <c r="X93" s="466"/>
      <c r="Y93" s="466"/>
      <c r="Z93" s="466"/>
      <c r="AA93" s="466"/>
      <c r="AB93" s="678"/>
    </row>
    <row r="94" spans="1:37" ht="12.75" customHeight="1">
      <c r="U94" s="466"/>
      <c r="V94" s="466"/>
      <c r="W94" s="466"/>
      <c r="X94" s="466"/>
      <c r="Y94" s="466"/>
      <c r="Z94" s="466"/>
      <c r="AA94" s="466"/>
      <c r="AB94" s="678"/>
    </row>
    <row r="95" spans="1:37" ht="12.75" customHeight="1">
      <c r="U95" s="466"/>
      <c r="V95" s="466"/>
      <c r="W95" s="466"/>
      <c r="X95" s="466"/>
      <c r="Y95" s="466"/>
      <c r="Z95" s="466"/>
      <c r="AA95" s="466"/>
      <c r="AB95" s="678"/>
      <c r="AD95" s="2"/>
    </row>
    <row r="96" spans="1:37" ht="12.75" customHeight="1">
      <c r="U96" s="466"/>
      <c r="V96" s="466"/>
      <c r="W96" s="466"/>
      <c r="X96" s="466"/>
      <c r="Y96" s="466"/>
      <c r="Z96" s="466"/>
      <c r="AA96" s="466"/>
      <c r="AB96" s="678"/>
    </row>
    <row r="97" spans="21:28" ht="12.75" customHeight="1">
      <c r="U97" s="466"/>
      <c r="V97" s="466"/>
      <c r="W97" s="466"/>
      <c r="X97" s="466"/>
      <c r="Y97" s="466"/>
      <c r="Z97" s="466"/>
      <c r="AA97" s="466"/>
      <c r="AB97" s="678"/>
    </row>
    <row r="98" spans="21:28" ht="12.75" customHeight="1">
      <c r="U98" s="466"/>
      <c r="V98" s="466"/>
      <c r="W98" s="466"/>
      <c r="X98" s="466"/>
      <c r="Y98" s="466"/>
      <c r="Z98" s="466"/>
      <c r="AA98" s="466"/>
      <c r="AB98" s="678"/>
    </row>
    <row r="99" spans="21:28" ht="12.75" customHeight="1">
      <c r="U99" s="466"/>
      <c r="V99" s="466"/>
      <c r="W99" s="466"/>
      <c r="X99" s="466"/>
      <c r="Y99" s="466"/>
      <c r="Z99" s="466"/>
      <c r="AA99" s="466"/>
      <c r="AB99" s="678"/>
    </row>
    <row r="100" spans="21:28" ht="12.75" customHeight="1">
      <c r="U100" s="466"/>
      <c r="V100" s="466"/>
      <c r="W100" s="466"/>
      <c r="X100" s="466"/>
      <c r="Y100" s="466"/>
      <c r="Z100" s="466"/>
      <c r="AA100" s="466"/>
      <c r="AB100" s="678"/>
    </row>
    <row r="101" spans="21:28" ht="12.75" customHeight="1">
      <c r="U101" s="466"/>
      <c r="V101" s="466"/>
      <c r="W101" s="466"/>
      <c r="X101" s="466"/>
      <c r="Y101" s="466"/>
      <c r="Z101" s="466"/>
      <c r="AA101" s="466"/>
      <c r="AB101" s="678"/>
    </row>
    <row r="102" spans="21:28" ht="12.75" customHeight="1">
      <c r="U102" s="466"/>
      <c r="V102" s="466"/>
      <c r="W102" s="466"/>
      <c r="X102" s="466"/>
      <c r="Y102" s="466"/>
      <c r="Z102" s="466"/>
      <c r="AA102" s="466"/>
      <c r="AB102" s="678"/>
    </row>
    <row r="103" spans="21:28" ht="12.75" customHeight="1">
      <c r="U103" s="466"/>
      <c r="V103" s="466"/>
      <c r="W103" s="466"/>
      <c r="X103" s="466"/>
      <c r="Y103" s="466"/>
      <c r="Z103" s="466"/>
      <c r="AA103" s="466"/>
      <c r="AB103" s="678"/>
    </row>
    <row r="104" spans="21:28" ht="12.75" customHeight="1">
      <c r="U104" s="466"/>
      <c r="V104" s="466"/>
      <c r="W104" s="466"/>
      <c r="X104" s="466"/>
      <c r="Y104" s="466"/>
      <c r="Z104" s="466"/>
      <c r="AA104" s="466"/>
      <c r="AB104" s="678"/>
    </row>
    <row r="105" spans="21:28" ht="12.75" customHeight="1">
      <c r="U105" s="466"/>
      <c r="V105" s="466"/>
      <c r="W105" s="466"/>
      <c r="X105" s="466"/>
      <c r="Y105" s="466"/>
      <c r="Z105" s="466"/>
      <c r="AA105" s="466"/>
      <c r="AB105" s="678"/>
    </row>
    <row r="106" spans="21:28" ht="12.75" customHeight="1">
      <c r="U106" s="466"/>
      <c r="V106" s="466"/>
      <c r="W106" s="466"/>
      <c r="X106" s="466"/>
      <c r="Y106" s="466"/>
      <c r="Z106" s="466"/>
      <c r="AA106" s="466"/>
      <c r="AB106" s="678"/>
    </row>
    <row r="107" spans="21:28" ht="12.75" customHeight="1">
      <c r="U107" s="466"/>
      <c r="V107" s="466"/>
      <c r="W107" s="466"/>
      <c r="X107" s="466"/>
      <c r="Y107" s="466"/>
      <c r="Z107" s="466"/>
      <c r="AA107" s="466"/>
      <c r="AB107" s="678"/>
    </row>
    <row r="108" spans="21:28" ht="12.75" customHeight="1">
      <c r="U108" s="466"/>
      <c r="V108" s="466"/>
      <c r="W108" s="466"/>
      <c r="X108" s="466"/>
      <c r="Y108" s="466"/>
      <c r="Z108" s="466"/>
      <c r="AA108" s="466"/>
      <c r="AB108" s="678"/>
    </row>
    <row r="109" spans="21:28" ht="12.75" customHeight="1">
      <c r="U109" s="466"/>
      <c r="V109" s="466"/>
      <c r="W109" s="466"/>
      <c r="X109" s="466"/>
      <c r="Y109" s="466"/>
      <c r="Z109" s="466"/>
      <c r="AA109" s="466"/>
      <c r="AB109" s="678"/>
    </row>
    <row r="110" spans="21:28" ht="12.75" customHeight="1">
      <c r="U110" s="466"/>
      <c r="V110" s="466"/>
      <c r="W110" s="466"/>
      <c r="X110" s="466"/>
      <c r="Y110" s="466"/>
      <c r="Z110" s="466"/>
      <c r="AA110" s="466"/>
      <c r="AB110" s="678"/>
    </row>
    <row r="111" spans="21:28" ht="12.75" customHeight="1">
      <c r="U111" s="466"/>
      <c r="V111" s="466"/>
      <c r="W111" s="466"/>
      <c r="X111" s="466"/>
      <c r="Y111" s="466"/>
      <c r="Z111" s="466"/>
      <c r="AA111" s="466"/>
      <c r="AB111" s="678"/>
    </row>
    <row r="112" spans="21:28" ht="12.75" customHeight="1">
      <c r="U112" s="466"/>
      <c r="V112" s="466"/>
      <c r="W112" s="466"/>
      <c r="X112" s="466"/>
      <c r="Y112" s="466"/>
      <c r="Z112" s="466"/>
      <c r="AA112" s="466"/>
      <c r="AB112" s="678"/>
    </row>
    <row r="113" spans="21:28" ht="12.75" customHeight="1">
      <c r="U113" s="466"/>
      <c r="V113" s="466"/>
      <c r="W113" s="466"/>
      <c r="X113" s="466"/>
      <c r="Y113" s="466"/>
      <c r="Z113" s="466"/>
      <c r="AA113" s="466"/>
      <c r="AB113" s="678"/>
    </row>
    <row r="114" spans="21:28" ht="12.75" customHeight="1">
      <c r="U114" s="466"/>
      <c r="V114" s="466"/>
      <c r="W114" s="466"/>
      <c r="X114" s="466"/>
      <c r="Y114" s="466"/>
      <c r="Z114" s="466"/>
      <c r="AA114" s="466"/>
      <c r="AB114" s="678"/>
    </row>
    <row r="115" spans="21:28" ht="12.75" customHeight="1">
      <c r="U115" s="466"/>
      <c r="V115" s="466"/>
      <c r="W115" s="466"/>
      <c r="X115" s="466"/>
      <c r="Y115" s="466"/>
      <c r="Z115" s="466"/>
      <c r="AA115" s="466"/>
      <c r="AB115" s="678"/>
    </row>
    <row r="116" spans="21:28" ht="12.75" customHeight="1">
      <c r="U116" s="466"/>
      <c r="V116" s="466"/>
      <c r="W116" s="466"/>
      <c r="X116" s="466"/>
      <c r="Y116" s="466"/>
      <c r="Z116" s="466"/>
      <c r="AA116" s="466"/>
      <c r="AB116" s="678"/>
    </row>
    <row r="117" spans="21:28" ht="12.75" customHeight="1">
      <c r="U117" s="466"/>
      <c r="V117" s="466"/>
      <c r="W117" s="466"/>
      <c r="X117" s="466"/>
      <c r="Y117" s="466"/>
      <c r="Z117" s="466"/>
      <c r="AA117" s="466"/>
      <c r="AB117" s="678"/>
    </row>
    <row r="118" spans="21:28" ht="12.75" customHeight="1">
      <c r="U118" s="466"/>
      <c r="V118" s="466"/>
      <c r="W118" s="466"/>
      <c r="X118" s="466"/>
      <c r="Y118" s="466"/>
      <c r="Z118" s="466"/>
      <c r="AA118" s="466"/>
      <c r="AB118" s="678"/>
    </row>
    <row r="119" spans="21:28" ht="12.75" customHeight="1">
      <c r="U119" s="466"/>
      <c r="V119" s="466"/>
      <c r="W119" s="466"/>
      <c r="X119" s="466"/>
      <c r="Y119" s="466"/>
      <c r="Z119" s="466"/>
      <c r="AA119" s="466"/>
      <c r="AB119" s="678"/>
    </row>
    <row r="120" spans="21:28" ht="12.75" customHeight="1">
      <c r="U120" s="466"/>
      <c r="V120" s="466"/>
      <c r="W120" s="466"/>
      <c r="X120" s="466"/>
      <c r="Y120" s="466"/>
      <c r="Z120" s="466"/>
      <c r="AA120" s="466"/>
      <c r="AB120" s="678"/>
    </row>
    <row r="121" spans="21:28" ht="12.75" customHeight="1">
      <c r="U121" s="466"/>
      <c r="V121" s="466"/>
      <c r="W121" s="466"/>
      <c r="X121" s="466"/>
      <c r="Y121" s="466"/>
      <c r="Z121" s="466"/>
      <c r="AA121" s="466"/>
      <c r="AB121" s="678"/>
    </row>
    <row r="122" spans="21:28" ht="12.75" customHeight="1">
      <c r="U122" s="466"/>
      <c r="V122" s="466"/>
      <c r="W122" s="466"/>
      <c r="X122" s="466"/>
      <c r="Y122" s="466"/>
      <c r="Z122" s="466"/>
      <c r="AA122" s="466"/>
      <c r="AB122" s="678"/>
    </row>
    <row r="123" spans="21:28" ht="12.75" customHeight="1">
      <c r="U123" s="466"/>
      <c r="V123" s="466"/>
      <c r="W123" s="466"/>
      <c r="X123" s="466"/>
      <c r="Y123" s="466"/>
      <c r="Z123" s="466"/>
      <c r="AA123" s="466"/>
      <c r="AB123" s="678"/>
    </row>
    <row r="124" spans="21:28" ht="12.75" customHeight="1">
      <c r="U124" s="466"/>
      <c r="V124" s="466"/>
      <c r="W124" s="466"/>
      <c r="X124" s="466"/>
      <c r="Y124" s="466"/>
      <c r="Z124" s="466"/>
      <c r="AA124" s="466"/>
      <c r="AB124" s="678"/>
    </row>
    <row r="125" spans="21:28" ht="12.75" customHeight="1">
      <c r="U125" s="466"/>
      <c r="V125" s="466"/>
      <c r="W125" s="466"/>
      <c r="X125" s="466"/>
      <c r="Y125" s="466"/>
      <c r="Z125" s="466"/>
      <c r="AA125" s="466"/>
      <c r="AB125" s="678"/>
    </row>
    <row r="126" spans="21:28" ht="12.75" customHeight="1">
      <c r="U126" s="466"/>
      <c r="V126" s="466"/>
      <c r="W126" s="466"/>
      <c r="X126" s="466"/>
      <c r="Y126" s="466"/>
      <c r="Z126" s="466"/>
      <c r="AA126" s="466"/>
      <c r="AB126" s="678"/>
    </row>
    <row r="127" spans="21:28" ht="12.75" customHeight="1">
      <c r="U127" s="466"/>
      <c r="V127" s="466"/>
      <c r="W127" s="466"/>
      <c r="X127" s="466"/>
      <c r="Y127" s="466"/>
      <c r="Z127" s="466"/>
      <c r="AA127" s="466"/>
      <c r="AB127" s="678"/>
    </row>
    <row r="128" spans="21:28" ht="12.75" customHeight="1">
      <c r="U128" s="466"/>
      <c r="V128" s="466"/>
      <c r="W128" s="466"/>
      <c r="X128" s="466"/>
      <c r="Y128" s="466"/>
      <c r="Z128" s="466"/>
      <c r="AA128" s="466"/>
      <c r="AB128" s="678"/>
    </row>
    <row r="129" spans="21:28" ht="12.75" customHeight="1">
      <c r="U129" s="466"/>
      <c r="V129" s="466"/>
      <c r="W129" s="466"/>
      <c r="X129" s="466"/>
      <c r="Y129" s="466"/>
      <c r="Z129" s="466"/>
      <c r="AA129" s="466"/>
      <c r="AB129" s="678"/>
    </row>
    <row r="130" spans="21:28" ht="12.75" customHeight="1">
      <c r="U130" s="466"/>
      <c r="V130" s="466"/>
      <c r="W130" s="466"/>
      <c r="X130" s="466"/>
      <c r="Y130" s="466"/>
      <c r="Z130" s="466"/>
      <c r="AA130" s="466"/>
      <c r="AB130" s="678"/>
    </row>
    <row r="131" spans="21:28" ht="12.75" customHeight="1">
      <c r="U131" s="466"/>
      <c r="V131" s="466"/>
      <c r="W131" s="466"/>
      <c r="X131" s="466"/>
      <c r="Y131" s="466"/>
      <c r="Z131" s="466"/>
      <c r="AA131" s="466"/>
      <c r="AB131" s="678"/>
    </row>
    <row r="132" spans="21:28" ht="12.75" customHeight="1">
      <c r="U132" s="466"/>
      <c r="V132" s="466"/>
      <c r="W132" s="466"/>
      <c r="X132" s="466"/>
      <c r="Y132" s="466"/>
      <c r="Z132" s="466"/>
      <c r="AA132" s="466"/>
      <c r="AB132" s="678"/>
    </row>
    <row r="133" spans="21:28" ht="12.75" customHeight="1">
      <c r="U133" s="466"/>
      <c r="V133" s="466"/>
      <c r="W133" s="466"/>
      <c r="X133" s="466"/>
      <c r="Y133" s="466"/>
      <c r="Z133" s="466"/>
      <c r="AA133" s="466"/>
      <c r="AB133" s="678"/>
    </row>
    <row r="134" spans="21:28" ht="12.75" customHeight="1">
      <c r="U134" s="466"/>
      <c r="V134" s="466"/>
      <c r="W134" s="466"/>
      <c r="X134" s="466"/>
      <c r="Y134" s="466"/>
      <c r="Z134" s="466"/>
      <c r="AA134" s="466"/>
      <c r="AB134" s="678"/>
    </row>
    <row r="135" spans="21:28" ht="12.75" customHeight="1">
      <c r="U135" s="466"/>
      <c r="V135" s="466"/>
      <c r="W135" s="466"/>
      <c r="X135" s="466"/>
      <c r="Y135" s="466"/>
      <c r="Z135" s="466"/>
      <c r="AA135" s="466"/>
      <c r="AB135" s="678"/>
    </row>
    <row r="136" spans="21:28" ht="12.75" customHeight="1">
      <c r="U136" s="466"/>
      <c r="V136" s="466"/>
      <c r="W136" s="466"/>
      <c r="X136" s="466"/>
      <c r="Y136" s="466"/>
      <c r="Z136" s="466"/>
      <c r="AA136" s="466"/>
      <c r="AB136" s="678"/>
    </row>
    <row r="137" spans="21:28" ht="12.75" customHeight="1">
      <c r="U137" s="466"/>
      <c r="V137" s="466"/>
      <c r="W137" s="466"/>
      <c r="X137" s="466"/>
      <c r="Y137" s="466"/>
      <c r="Z137" s="466"/>
      <c r="AA137" s="466"/>
      <c r="AB137" s="678"/>
    </row>
    <row r="138" spans="21:28" ht="12.75" customHeight="1">
      <c r="U138" s="466"/>
      <c r="V138" s="466"/>
      <c r="W138" s="466"/>
      <c r="X138" s="466"/>
      <c r="Y138" s="466"/>
      <c r="Z138" s="466"/>
      <c r="AA138" s="466"/>
      <c r="AB138" s="678"/>
    </row>
    <row r="139" spans="21:28" ht="12.75" customHeight="1">
      <c r="U139" s="466"/>
      <c r="V139" s="466"/>
      <c r="W139" s="466"/>
      <c r="X139" s="466"/>
      <c r="Y139" s="466"/>
      <c r="Z139" s="466"/>
      <c r="AA139" s="466"/>
      <c r="AB139" s="678"/>
    </row>
    <row r="140" spans="21:28" ht="12.75" customHeight="1">
      <c r="U140" s="466"/>
      <c r="V140" s="466"/>
      <c r="W140" s="466"/>
      <c r="X140" s="466"/>
      <c r="Y140" s="466"/>
      <c r="Z140" s="466"/>
      <c r="AA140" s="466"/>
      <c r="AB140" s="678"/>
    </row>
    <row r="141" spans="21:28" ht="12.75" customHeight="1">
      <c r="U141" s="466"/>
      <c r="V141" s="466"/>
      <c r="W141" s="466"/>
      <c r="X141" s="466"/>
      <c r="Y141" s="466"/>
      <c r="Z141" s="466"/>
      <c r="AA141" s="466"/>
      <c r="AB141" s="678"/>
    </row>
    <row r="142" spans="21:28" ht="12.75" customHeight="1">
      <c r="U142" s="466"/>
      <c r="V142" s="466"/>
      <c r="W142" s="466"/>
      <c r="X142" s="466"/>
      <c r="Y142" s="466"/>
      <c r="Z142" s="466"/>
      <c r="AA142" s="466"/>
      <c r="AB142" s="678"/>
    </row>
    <row r="143" spans="21:28" ht="12.75" customHeight="1">
      <c r="U143" s="466"/>
      <c r="V143" s="466"/>
      <c r="W143" s="466"/>
      <c r="X143" s="466"/>
      <c r="Y143" s="466"/>
      <c r="Z143" s="466"/>
      <c r="AA143" s="466"/>
      <c r="AB143" s="678"/>
    </row>
    <row r="144" spans="21:28" ht="12.75" customHeight="1">
      <c r="U144" s="466"/>
      <c r="V144" s="466"/>
      <c r="W144" s="466"/>
      <c r="X144" s="466"/>
      <c r="Y144" s="466"/>
      <c r="Z144" s="466"/>
      <c r="AA144" s="466"/>
      <c r="AB144" s="678"/>
    </row>
    <row r="145" spans="21:28" ht="12.75" customHeight="1">
      <c r="U145" s="466"/>
      <c r="V145" s="466"/>
      <c r="W145" s="466"/>
      <c r="X145" s="466"/>
      <c r="Y145" s="466"/>
      <c r="Z145" s="466"/>
      <c r="AA145" s="466"/>
      <c r="AB145" s="678"/>
    </row>
  </sheetData>
  <sheetProtection algorithmName="SHA-512" hashValue="H6xVVNlhc+XDp4tFtu4qIdbPuGlT2OfxRCzLu6slbhnFJfZCzELZCOmLf+2sBoQciepG8dVSAMp9X2ERwf1EpQ==" saltValue="ehewchU96PFJq6mfTuU0yw==" spinCount="100000" sheet="1" objects="1" scenarios="1"/>
  <mergeCells count="128">
    <mergeCell ref="A36:C36"/>
    <mergeCell ref="A32:AB32"/>
    <mergeCell ref="A86:T88"/>
    <mergeCell ref="U88:AA145"/>
    <mergeCell ref="AB88:AB145"/>
    <mergeCell ref="W51:Y51"/>
    <mergeCell ref="B51:V51"/>
    <mergeCell ref="B52:V52"/>
    <mergeCell ref="B53:V53"/>
    <mergeCell ref="B54:V54"/>
    <mergeCell ref="B55:V55"/>
    <mergeCell ref="B56:V56"/>
    <mergeCell ref="B71:AB71"/>
    <mergeCell ref="A62:D62"/>
    <mergeCell ref="A64:D64"/>
    <mergeCell ref="Z58:AB58"/>
    <mergeCell ref="Z57:AB57"/>
    <mergeCell ref="Z52:AB52"/>
    <mergeCell ref="Z53:AB53"/>
    <mergeCell ref="Z54:AB54"/>
    <mergeCell ref="Z55:AB55"/>
    <mergeCell ref="Z56:AB56"/>
    <mergeCell ref="B57:V57"/>
    <mergeCell ref="B58:V58"/>
    <mergeCell ref="A61:AB61"/>
    <mergeCell ref="A63:AB63"/>
    <mergeCell ref="A65:AB65"/>
    <mergeCell ref="B66:AB66"/>
    <mergeCell ref="B67:AB67"/>
    <mergeCell ref="B68:AB68"/>
    <mergeCell ref="Z51:AB51"/>
    <mergeCell ref="A43:AB43"/>
    <mergeCell ref="D44:AB44"/>
    <mergeCell ref="W52:Y52"/>
    <mergeCell ref="W53:Y53"/>
    <mergeCell ref="A20:C20"/>
    <mergeCell ref="A14:D14"/>
    <mergeCell ref="D75:O75"/>
    <mergeCell ref="R75:AB75"/>
    <mergeCell ref="U74:AB74"/>
    <mergeCell ref="A75:C75"/>
    <mergeCell ref="P75:Q75"/>
    <mergeCell ref="P74:T74"/>
    <mergeCell ref="B69:AB69"/>
    <mergeCell ref="B72:AB72"/>
    <mergeCell ref="A73:D73"/>
    <mergeCell ref="A74:D74"/>
    <mergeCell ref="B70:AB70"/>
    <mergeCell ref="W54:Y54"/>
    <mergeCell ref="W55:Y55"/>
    <mergeCell ref="W56:Y56"/>
    <mergeCell ref="W57:Y57"/>
    <mergeCell ref="W58:Y58"/>
    <mergeCell ref="A30:AB30"/>
    <mergeCell ref="E74:O74"/>
    <mergeCell ref="A50:AB50"/>
    <mergeCell ref="A59:D59"/>
    <mergeCell ref="A48:T49"/>
    <mergeCell ref="A60:AB60"/>
    <mergeCell ref="A24:D24"/>
    <mergeCell ref="E24:J24"/>
    <mergeCell ref="K24:L24"/>
    <mergeCell ref="M24:T24"/>
    <mergeCell ref="U24:V24"/>
    <mergeCell ref="A21:AB21"/>
    <mergeCell ref="A22:D22"/>
    <mergeCell ref="E22:AB22"/>
    <mergeCell ref="A23:D23"/>
    <mergeCell ref="E23:AB23"/>
    <mergeCell ref="A28:C28"/>
    <mergeCell ref="A31:C31"/>
    <mergeCell ref="A25:C25"/>
    <mergeCell ref="A26:AB26"/>
    <mergeCell ref="A27:AB27"/>
    <mergeCell ref="A29:AB29"/>
    <mergeCell ref="A34:D34"/>
    <mergeCell ref="E34:AB34"/>
    <mergeCell ref="A35:D35"/>
    <mergeCell ref="E35:J35"/>
    <mergeCell ref="K35:L35"/>
    <mergeCell ref="M35:T35"/>
    <mergeCell ref="U35:V35"/>
    <mergeCell ref="W35:AB35"/>
    <mergeCell ref="A33:D33"/>
    <mergeCell ref="A1:S4"/>
    <mergeCell ref="A16:AB16"/>
    <mergeCell ref="A17:D17"/>
    <mergeCell ref="E17:AB17"/>
    <mergeCell ref="A18:D18"/>
    <mergeCell ref="E18:AB18"/>
    <mergeCell ref="A19:D19"/>
    <mergeCell ref="E19:J19"/>
    <mergeCell ref="K19:L19"/>
    <mergeCell ref="M19:T19"/>
    <mergeCell ref="U19:V19"/>
    <mergeCell ref="W19:AB19"/>
    <mergeCell ref="A5:AB5"/>
    <mergeCell ref="A6:AB6"/>
    <mergeCell ref="A7:AB7"/>
    <mergeCell ref="A9:AB9"/>
    <mergeCell ref="A10:C10"/>
    <mergeCell ref="A8:AB8"/>
    <mergeCell ref="K14:L14"/>
    <mergeCell ref="U14:V14"/>
    <mergeCell ref="A78:K78"/>
    <mergeCell ref="A79:K83"/>
    <mergeCell ref="L78:AB83"/>
    <mergeCell ref="A11:AB11"/>
    <mergeCell ref="A13:D13"/>
    <mergeCell ref="E13:AB13"/>
    <mergeCell ref="E14:J14"/>
    <mergeCell ref="A42:C42"/>
    <mergeCell ref="A44:C44"/>
    <mergeCell ref="W24:AB24"/>
    <mergeCell ref="A15:C15"/>
    <mergeCell ref="M14:T14"/>
    <mergeCell ref="W14:AB14"/>
    <mergeCell ref="E12:AB12"/>
    <mergeCell ref="A12:D12"/>
    <mergeCell ref="A47:G47"/>
    <mergeCell ref="H47:AB47"/>
    <mergeCell ref="A37:AB37"/>
    <mergeCell ref="A38:AB41"/>
    <mergeCell ref="A45:G45"/>
    <mergeCell ref="H45:AB45"/>
    <mergeCell ref="A46:G46"/>
    <mergeCell ref="H46:AB46"/>
    <mergeCell ref="E33:AB33"/>
  </mergeCells>
  <hyperlinks>
    <hyperlink ref="A78" r:id="rId1" display="mailto:tradewaste@watercorporation.com.au" xr:uid="{00000000-0004-0000-0100-000000000000}"/>
  </hyperlinks>
  <pageMargins left="0.26041666666666669" right="0.24739583333333334" top="0.28645833333333331" bottom="0.45" header="0" footer="0.3"/>
  <pageSetup paperSize="9" orientation="portrait" r:id="rId2"/>
  <headerFooter>
    <oddHeader>&amp;R&amp;G</oddHeader>
    <oddFooter>&amp;L&amp;"Verdana,Bold"&amp;12&amp;K0095A9
 watercorporation.com.au&amp;"-,Regular"&amp;11&amp;K01+000
&amp;8  &amp;"Verdana,Regular"&amp;7 &amp;K4D4D4D58583454 - Version Date: 01 July 2024&amp;C&amp;"Verdana,Regular"&amp;7&amp;K4D4D4DPage &amp;P of &amp;N&amp;R&amp;G</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8" r:id="rId6" name="Check Box 4">
              <controlPr defaultSize="0" autoFill="0" autoLine="0" autoPict="0">
                <anchor moveWithCells="1">
                  <from>
                    <xdr:col>18</xdr:col>
                    <xdr:colOff>0</xdr:colOff>
                    <xdr:row>5</xdr:row>
                    <xdr:rowOff>7620</xdr:rowOff>
                  </from>
                  <to>
                    <xdr:col>19</xdr:col>
                    <xdr:colOff>3810</xdr:colOff>
                    <xdr:row>5</xdr:row>
                    <xdr:rowOff>213360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27</xdr:col>
                    <xdr:colOff>30480</xdr:colOff>
                    <xdr:row>8</xdr:row>
                    <xdr:rowOff>7620</xdr:rowOff>
                  </from>
                  <to>
                    <xdr:col>27</xdr:col>
                    <xdr:colOff>236220</xdr:colOff>
                    <xdr:row>8</xdr:row>
                    <xdr:rowOff>213360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23</xdr:col>
                    <xdr:colOff>106680</xdr:colOff>
                    <xdr:row>51</xdr:row>
                    <xdr:rowOff>60960</xdr:rowOff>
                  </from>
                  <to>
                    <xdr:col>24</xdr:col>
                    <xdr:colOff>30480</xdr:colOff>
                    <xdr:row>51</xdr:row>
                    <xdr:rowOff>266700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26</xdr:col>
                    <xdr:colOff>38100</xdr:colOff>
                    <xdr:row>51</xdr:row>
                    <xdr:rowOff>60960</xdr:rowOff>
                  </from>
                  <to>
                    <xdr:col>26</xdr:col>
                    <xdr:colOff>228600</xdr:colOff>
                    <xdr:row>51</xdr:row>
                    <xdr:rowOff>266700</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23</xdr:col>
                    <xdr:colOff>106680</xdr:colOff>
                    <xdr:row>52</xdr:row>
                    <xdr:rowOff>60960</xdr:rowOff>
                  </from>
                  <to>
                    <xdr:col>24</xdr:col>
                    <xdr:colOff>30480</xdr:colOff>
                    <xdr:row>52</xdr:row>
                    <xdr:rowOff>266700</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26</xdr:col>
                    <xdr:colOff>38100</xdr:colOff>
                    <xdr:row>52</xdr:row>
                    <xdr:rowOff>60960</xdr:rowOff>
                  </from>
                  <to>
                    <xdr:col>26</xdr:col>
                    <xdr:colOff>228600</xdr:colOff>
                    <xdr:row>52</xdr:row>
                    <xdr:rowOff>266700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23</xdr:col>
                    <xdr:colOff>106680</xdr:colOff>
                    <xdr:row>53</xdr:row>
                    <xdr:rowOff>60960</xdr:rowOff>
                  </from>
                  <to>
                    <xdr:col>24</xdr:col>
                    <xdr:colOff>30480</xdr:colOff>
                    <xdr:row>53</xdr:row>
                    <xdr:rowOff>266700</xdr:rowOff>
                  </to>
                </anchor>
              </controlPr>
            </control>
          </mc:Choice>
        </mc:AlternateContent>
        <mc:AlternateContent xmlns:mc="http://schemas.openxmlformats.org/markup-compatibility/2006">
          <mc:Choice Requires="x14">
            <control shapeId="1083" r:id="rId13" name="Check Box 59">
              <controlPr defaultSize="0" autoFill="0" autoLine="0" autoPict="0">
                <anchor moveWithCells="1">
                  <from>
                    <xdr:col>26</xdr:col>
                    <xdr:colOff>38100</xdr:colOff>
                    <xdr:row>53</xdr:row>
                    <xdr:rowOff>60960</xdr:rowOff>
                  </from>
                  <to>
                    <xdr:col>26</xdr:col>
                    <xdr:colOff>228600</xdr:colOff>
                    <xdr:row>53</xdr:row>
                    <xdr:rowOff>266700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23</xdr:col>
                    <xdr:colOff>106680</xdr:colOff>
                    <xdr:row>54</xdr:row>
                    <xdr:rowOff>60960</xdr:rowOff>
                  </from>
                  <to>
                    <xdr:col>24</xdr:col>
                    <xdr:colOff>30480</xdr:colOff>
                    <xdr:row>54</xdr:row>
                    <xdr:rowOff>266700</xdr:rowOff>
                  </to>
                </anchor>
              </controlPr>
            </control>
          </mc:Choice>
        </mc:AlternateContent>
        <mc:AlternateContent xmlns:mc="http://schemas.openxmlformats.org/markup-compatibility/2006">
          <mc:Choice Requires="x14">
            <control shapeId="1085" r:id="rId15" name="Check Box 61">
              <controlPr defaultSize="0" autoFill="0" autoLine="0" autoPict="0">
                <anchor moveWithCells="1">
                  <from>
                    <xdr:col>26</xdr:col>
                    <xdr:colOff>38100</xdr:colOff>
                    <xdr:row>54</xdr:row>
                    <xdr:rowOff>60960</xdr:rowOff>
                  </from>
                  <to>
                    <xdr:col>26</xdr:col>
                    <xdr:colOff>228600</xdr:colOff>
                    <xdr:row>54</xdr:row>
                    <xdr:rowOff>266700</xdr:rowOff>
                  </to>
                </anchor>
              </controlPr>
            </control>
          </mc:Choice>
        </mc:AlternateContent>
        <mc:AlternateContent xmlns:mc="http://schemas.openxmlformats.org/markup-compatibility/2006">
          <mc:Choice Requires="x14">
            <control shapeId="1086" r:id="rId16" name="Check Box 62">
              <controlPr defaultSize="0" autoFill="0" autoLine="0" autoPict="0">
                <anchor moveWithCells="1">
                  <from>
                    <xdr:col>23</xdr:col>
                    <xdr:colOff>106680</xdr:colOff>
                    <xdr:row>55</xdr:row>
                    <xdr:rowOff>60960</xdr:rowOff>
                  </from>
                  <to>
                    <xdr:col>24</xdr:col>
                    <xdr:colOff>30480</xdr:colOff>
                    <xdr:row>55</xdr:row>
                    <xdr:rowOff>266700</xdr:rowOff>
                  </to>
                </anchor>
              </controlPr>
            </control>
          </mc:Choice>
        </mc:AlternateContent>
        <mc:AlternateContent xmlns:mc="http://schemas.openxmlformats.org/markup-compatibility/2006">
          <mc:Choice Requires="x14">
            <control shapeId="1087" r:id="rId17" name="Check Box 63">
              <controlPr defaultSize="0" autoFill="0" autoLine="0" autoPict="0">
                <anchor moveWithCells="1">
                  <from>
                    <xdr:col>26</xdr:col>
                    <xdr:colOff>38100</xdr:colOff>
                    <xdr:row>55</xdr:row>
                    <xdr:rowOff>60960</xdr:rowOff>
                  </from>
                  <to>
                    <xdr:col>26</xdr:col>
                    <xdr:colOff>228600</xdr:colOff>
                    <xdr:row>55</xdr:row>
                    <xdr:rowOff>266700</xdr:rowOff>
                  </to>
                </anchor>
              </controlPr>
            </control>
          </mc:Choice>
        </mc:AlternateContent>
        <mc:AlternateContent xmlns:mc="http://schemas.openxmlformats.org/markup-compatibility/2006">
          <mc:Choice Requires="x14">
            <control shapeId="1088" r:id="rId18" name="Check Box 64">
              <controlPr defaultSize="0" autoFill="0" autoLine="0" autoPict="0">
                <anchor moveWithCells="1">
                  <from>
                    <xdr:col>23</xdr:col>
                    <xdr:colOff>106680</xdr:colOff>
                    <xdr:row>56</xdr:row>
                    <xdr:rowOff>60960</xdr:rowOff>
                  </from>
                  <to>
                    <xdr:col>24</xdr:col>
                    <xdr:colOff>30480</xdr:colOff>
                    <xdr:row>56</xdr:row>
                    <xdr:rowOff>266700</xdr:rowOff>
                  </to>
                </anchor>
              </controlPr>
            </control>
          </mc:Choice>
        </mc:AlternateContent>
        <mc:AlternateContent xmlns:mc="http://schemas.openxmlformats.org/markup-compatibility/2006">
          <mc:Choice Requires="x14">
            <control shapeId="1089" r:id="rId19" name="Check Box 65">
              <controlPr defaultSize="0" autoFill="0" autoLine="0" autoPict="0">
                <anchor moveWithCells="1">
                  <from>
                    <xdr:col>26</xdr:col>
                    <xdr:colOff>38100</xdr:colOff>
                    <xdr:row>56</xdr:row>
                    <xdr:rowOff>60960</xdr:rowOff>
                  </from>
                  <to>
                    <xdr:col>26</xdr:col>
                    <xdr:colOff>228600</xdr:colOff>
                    <xdr:row>56</xdr:row>
                    <xdr:rowOff>266700</xdr:rowOff>
                  </to>
                </anchor>
              </controlPr>
            </control>
          </mc:Choice>
        </mc:AlternateContent>
        <mc:AlternateContent xmlns:mc="http://schemas.openxmlformats.org/markup-compatibility/2006">
          <mc:Choice Requires="x14">
            <control shapeId="1090" r:id="rId20" name="Check Box 66">
              <controlPr defaultSize="0" autoFill="0" autoLine="0" autoPict="0">
                <anchor moveWithCells="1">
                  <from>
                    <xdr:col>23</xdr:col>
                    <xdr:colOff>106680</xdr:colOff>
                    <xdr:row>57</xdr:row>
                    <xdr:rowOff>60960</xdr:rowOff>
                  </from>
                  <to>
                    <xdr:col>24</xdr:col>
                    <xdr:colOff>30480</xdr:colOff>
                    <xdr:row>57</xdr:row>
                    <xdr:rowOff>266700</xdr:rowOff>
                  </to>
                </anchor>
              </controlPr>
            </control>
          </mc:Choice>
        </mc:AlternateContent>
        <mc:AlternateContent xmlns:mc="http://schemas.openxmlformats.org/markup-compatibility/2006">
          <mc:Choice Requires="x14">
            <control shapeId="1091" r:id="rId21" name="Check Box 67">
              <controlPr defaultSize="0" autoFill="0" autoLine="0" autoPict="0">
                <anchor moveWithCells="1">
                  <from>
                    <xdr:col>26</xdr:col>
                    <xdr:colOff>38100</xdr:colOff>
                    <xdr:row>57</xdr:row>
                    <xdr:rowOff>60960</xdr:rowOff>
                  </from>
                  <to>
                    <xdr:col>26</xdr:col>
                    <xdr:colOff>228600</xdr:colOff>
                    <xdr:row>57</xdr:row>
                    <xdr:rowOff>266700</xdr:rowOff>
                  </to>
                </anchor>
              </controlPr>
            </control>
          </mc:Choice>
        </mc:AlternateContent>
        <mc:AlternateContent xmlns:mc="http://schemas.openxmlformats.org/markup-compatibility/2006">
          <mc:Choice Requires="x14">
            <control shapeId="1092" r:id="rId22" name="Check Box 68">
              <controlPr defaultSize="0" autoFill="0" autoLine="0" autoPict="0">
                <anchor moveWithCells="1">
                  <from>
                    <xdr:col>25</xdr:col>
                    <xdr:colOff>114300</xdr:colOff>
                    <xdr:row>7</xdr:row>
                    <xdr:rowOff>0</xdr:rowOff>
                  </from>
                  <to>
                    <xdr:col>26</xdr:col>
                    <xdr:colOff>60960</xdr:colOff>
                    <xdr:row>7</xdr:row>
                    <xdr:rowOff>198120</xdr:rowOff>
                  </to>
                </anchor>
              </controlPr>
            </control>
          </mc:Choice>
        </mc:AlternateContent>
        <mc:AlternateContent xmlns:mc="http://schemas.openxmlformats.org/markup-compatibility/2006">
          <mc:Choice Requires="x14">
            <control shapeId="1093" r:id="rId23" name="Check Box 69">
              <controlPr defaultSize="0" autoFill="0" autoLine="0" autoPict="0">
                <anchor moveWithCells="1">
                  <from>
                    <xdr:col>22</xdr:col>
                    <xdr:colOff>144780</xdr:colOff>
                    <xdr:row>6</xdr:row>
                    <xdr:rowOff>7620</xdr:rowOff>
                  </from>
                  <to>
                    <xdr:col>23</xdr:col>
                    <xdr:colOff>83820</xdr:colOff>
                    <xdr:row>6</xdr:row>
                    <xdr:rowOff>213360</xdr:rowOff>
                  </to>
                </anchor>
              </controlPr>
            </control>
          </mc:Choice>
        </mc:AlternateContent>
        <mc:AlternateContent xmlns:mc="http://schemas.openxmlformats.org/markup-compatibility/2006">
          <mc:Choice Requires="x14">
            <control shapeId="1094" r:id="rId24" name="Check Box 70">
              <controlPr defaultSize="0" autoFill="0" autoLine="0" autoPict="0">
                <anchor moveWithCells="1">
                  <from>
                    <xdr:col>23</xdr:col>
                    <xdr:colOff>106680</xdr:colOff>
                    <xdr:row>50</xdr:row>
                    <xdr:rowOff>60960</xdr:rowOff>
                  </from>
                  <to>
                    <xdr:col>24</xdr:col>
                    <xdr:colOff>30480</xdr:colOff>
                    <xdr:row>51</xdr:row>
                    <xdr:rowOff>0</xdr:rowOff>
                  </to>
                </anchor>
              </controlPr>
            </control>
          </mc:Choice>
        </mc:AlternateContent>
        <mc:AlternateContent xmlns:mc="http://schemas.openxmlformats.org/markup-compatibility/2006">
          <mc:Choice Requires="x14">
            <control shapeId="1095" r:id="rId25" name="Check Box 71">
              <controlPr defaultSize="0" autoFill="0" autoLine="0" autoPict="0">
                <anchor moveWithCells="1">
                  <from>
                    <xdr:col>26</xdr:col>
                    <xdr:colOff>38100</xdr:colOff>
                    <xdr:row>50</xdr:row>
                    <xdr:rowOff>60960</xdr:rowOff>
                  </from>
                  <to>
                    <xdr:col>26</xdr:col>
                    <xdr:colOff>228600</xdr:colOff>
                    <xdr:row>51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C2:AU41"/>
  <sheetViews>
    <sheetView showGridLines="0" showRowColHeaders="0" view="pageBreakPreview" zoomScaleNormal="100" zoomScaleSheetLayoutView="100" workbookViewId="0">
      <selection activeCell="B53" activeCellId="1" sqref="A34:AK60 B52:BM69"/>
    </sheetView>
  </sheetViews>
  <sheetFormatPr defaultColWidth="4.28515625" defaultRowHeight="14.45"/>
  <cols>
    <col min="1" max="1" width="3.42578125" customWidth="1"/>
    <col min="2" max="2" width="3.5703125" customWidth="1"/>
  </cols>
  <sheetData>
    <row r="2" spans="3:47">
      <c r="V2" s="320"/>
    </row>
    <row r="3" spans="3:47">
      <c r="C3" s="14"/>
      <c r="D3" s="474" t="s">
        <v>91</v>
      </c>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9"/>
      <c r="AP3" s="9"/>
      <c r="AQ3" s="9"/>
      <c r="AR3" s="9"/>
      <c r="AS3" s="9"/>
      <c r="AT3" s="9"/>
      <c r="AU3" s="9"/>
    </row>
    <row r="4" spans="3:47" s="9" customFormat="1" ht="10.15"/>
    <row r="5" spans="3:47" s="9" customFormat="1" ht="12.75" customHeight="1">
      <c r="T5" s="209" t="s">
        <v>92</v>
      </c>
      <c r="U5" s="476" t="s">
        <v>93</v>
      </c>
      <c r="V5" s="477"/>
      <c r="W5" s="688"/>
      <c r="X5" s="688"/>
      <c r="Y5" s="688"/>
      <c r="Z5" s="688"/>
      <c r="AA5" s="688"/>
      <c r="AB5" s="688"/>
      <c r="AC5" s="688"/>
      <c r="AD5" s="688"/>
      <c r="AE5" s="688"/>
      <c r="AF5" s="688"/>
      <c r="AG5" s="688"/>
      <c r="AH5" s="688"/>
      <c r="AI5" s="688"/>
      <c r="AJ5" s="688"/>
      <c r="AK5" s="688"/>
      <c r="AL5" s="688"/>
      <c r="AM5" s="688"/>
    </row>
    <row r="6" spans="3:47" s="9" customFormat="1" ht="12.75" customHeight="1">
      <c r="T6" s="209"/>
      <c r="U6" s="209"/>
      <c r="V6" s="209"/>
      <c r="W6" s="209"/>
      <c r="X6" s="209"/>
      <c r="Y6" s="209"/>
      <c r="Z6" s="209"/>
      <c r="AA6" s="209"/>
      <c r="AB6" s="209"/>
      <c r="AC6" s="209"/>
      <c r="AD6" s="209"/>
      <c r="AE6" s="209"/>
      <c r="AF6" s="209"/>
      <c r="AG6" s="209"/>
      <c r="AH6" s="209"/>
      <c r="AI6" s="209"/>
      <c r="AJ6" s="209"/>
      <c r="AK6" s="209"/>
      <c r="AL6" s="209"/>
      <c r="AM6" s="209"/>
      <c r="AT6" s="320"/>
    </row>
    <row r="7" spans="3:47" s="9" customFormat="1" ht="12.75" customHeight="1">
      <c r="D7" s="478" t="str">
        <f>IF(U5="","",IF(U5="&lt; SELECT HERE! &gt;","",IF(U5="New product/s never assessed before","Complete the following six (6) activities in order.",IF(U5="Review of expired product/s with new models being added","Complete the following four (4) activities in order.","Complete the following three (3) activities in order."))))</f>
        <v/>
      </c>
      <c r="E7" s="478"/>
      <c r="F7" s="478"/>
      <c r="G7" s="478"/>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row>
    <row r="8" spans="3:47" s="9" customFormat="1" ht="12.75" customHeight="1">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row>
    <row r="9" spans="3:47">
      <c r="C9" s="206" t="str">
        <f>IF(U5="","",IF(U5="New product/s never assessed before","1.",IF(U5="Review of expired product/s with new models being added","1.",IF(OR(U5="Review of expired only product/s with no change since previous approval",U5="Review of existing product/s that has had issues identified with it in the field",U5="Review of existing product/s with new changes made since last approval"),"1.",""))))</f>
        <v/>
      </c>
      <c r="D9" s="479" t="str">
        <f>IF(U5="","",IF(U5="&lt; SELECT HERE! &gt;","",IF(U5&lt;&gt;"","Enter a 'Registration' activity on the KPI Sheet AND create a new 'Customer Index' entry:","")))</f>
        <v/>
      </c>
      <c r="E9" s="688"/>
      <c r="F9" s="688"/>
      <c r="G9" s="688"/>
      <c r="H9" s="688"/>
      <c r="I9" s="688"/>
      <c r="J9" s="688"/>
      <c r="K9" s="688"/>
      <c r="L9" s="688"/>
      <c r="M9" s="688"/>
      <c r="N9" s="688"/>
      <c r="O9" s="688"/>
      <c r="P9" s="688"/>
      <c r="Q9" s="688"/>
      <c r="R9" s="688"/>
      <c r="S9" s="688"/>
      <c r="T9" s="688"/>
      <c r="U9" s="688"/>
      <c r="V9" s="688"/>
      <c r="W9" s="688"/>
      <c r="X9" s="688"/>
      <c r="Y9" s="688"/>
      <c r="Z9" s="688"/>
      <c r="AA9" s="688"/>
      <c r="AB9" s="480" t="str">
        <f>IF(OR(D9="",D9="No need to update the register as product and models already on the system."),"","58941674 (PA - KPI Sheet)")</f>
        <v/>
      </c>
      <c r="AC9" s="480"/>
      <c r="AD9" s="480"/>
      <c r="AE9" s="480"/>
      <c r="AF9" s="480"/>
      <c r="AG9" s="480"/>
      <c r="AH9" s="480"/>
      <c r="AI9" s="480"/>
      <c r="AJ9" s="480"/>
      <c r="AK9" s="480"/>
      <c r="AL9" s="480"/>
      <c r="AM9" s="480"/>
      <c r="AN9" s="9"/>
      <c r="AO9" s="9"/>
      <c r="AP9" s="9"/>
      <c r="AQ9" s="9"/>
      <c r="AR9" s="9"/>
      <c r="AS9" s="9"/>
      <c r="AT9" s="9"/>
      <c r="AU9" s="9"/>
    </row>
    <row r="10" spans="3:47">
      <c r="C10" s="206"/>
      <c r="D10" s="206" t="str">
        <f>IF(D9&lt;&gt;"",".","")</f>
        <v/>
      </c>
      <c r="E10" s="472" t="str">
        <f>IF(U5="","",IF(U5="&lt; SELECT HERE! &gt;","",IF(U5='(admin) Drop Down Variables'!D11,"USE THIS NEW CUSTOMER INDEX ENTRY TO NOW SAVE THE APPLICATION E-MAIL AND THE E-FORM ONTO YOUR PERSONAL NEXUS FOLDER UNTIL A NEW NEXUS FOLDER HAS BEEN CREATED LATER.","USE THIS NEW CUSTOMER INDEX ENTRY TO NOW SAVE THE APPLICATION E-MAIL AND THE E-FORM ONTO THE EXISTING NEXUS FOLDER.")))</f>
        <v/>
      </c>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9" t="str">
        <f>IF(AB9&lt;&gt;"",".","")</f>
        <v/>
      </c>
      <c r="AN10" s="9"/>
      <c r="AO10" s="9"/>
      <c r="AP10" s="9"/>
      <c r="AQ10" s="9"/>
      <c r="AR10" s="9"/>
      <c r="AS10" s="9"/>
      <c r="AT10" s="9"/>
      <c r="AU10" s="9"/>
    </row>
    <row r="11" spans="3:47">
      <c r="C11" s="9"/>
      <c r="D11" s="481" t="str">
        <f>IF(U5="","",IF(U5="&lt; SELECT HERE! &gt;","","Time taken to (i) create new product entry on 'Customer Index' tab, (ii) enter a Registration activity AND (iii) save the e-mail and the e-form (minutes):"))</f>
        <v/>
      </c>
      <c r="E11" s="688"/>
      <c r="F11" s="688"/>
      <c r="G11" s="688"/>
      <c r="H11" s="688"/>
      <c r="I11" s="688"/>
      <c r="J11" s="688"/>
      <c r="K11" s="688"/>
      <c r="L11" s="688"/>
      <c r="M11" s="688"/>
      <c r="N11" s="688"/>
      <c r="O11" s="688"/>
      <c r="P11" s="688"/>
      <c r="Q11" s="688"/>
      <c r="R11" s="688"/>
      <c r="S11" s="688"/>
      <c r="T11" s="688"/>
      <c r="U11" s="688"/>
      <c r="V11" s="688"/>
      <c r="W11" s="688"/>
      <c r="X11" s="688"/>
      <c r="Y11" s="688"/>
      <c r="Z11" s="688"/>
      <c r="AA11" s="688"/>
      <c r="AB11" s="476" t="str">
        <f>IF(U5="","",IF(OR(U5="New product/s never assessed before",U5="Review of expired product/s with new models being added",U5="Review of expired only product/s with no change since previous approval",U5="Review of existing product/s that has had issues identified with it in the field",U5="Review of existing product/s with new changes made since last approval"),"&lt; enter time taken &gt;",""))</f>
        <v/>
      </c>
      <c r="AC11" s="482"/>
      <c r="AD11" s="482"/>
      <c r="AE11" s="482"/>
      <c r="AF11" s="482"/>
      <c r="AG11" s="482"/>
      <c r="AH11" s="482"/>
      <c r="AI11" s="482"/>
      <c r="AJ11" s="482"/>
      <c r="AK11" s="482"/>
      <c r="AL11" s="482"/>
      <c r="AM11" s="482"/>
      <c r="AN11" s="9"/>
      <c r="AO11" s="9"/>
      <c r="AP11" s="9"/>
      <c r="AQ11" s="9"/>
      <c r="AR11" s="9"/>
      <c r="AS11" s="9"/>
      <c r="AT11" s="9"/>
      <c r="AU11" s="9"/>
    </row>
    <row r="12" spans="3:47" ht="6.95" customHeight="1">
      <c r="C12" s="9"/>
      <c r="D12" s="81"/>
      <c r="E12" s="9"/>
      <c r="F12" s="9"/>
      <c r="G12" s="9"/>
      <c r="H12" s="9"/>
      <c r="I12" s="9"/>
      <c r="J12" s="9"/>
      <c r="K12" s="9"/>
      <c r="L12" s="9"/>
      <c r="M12" s="9"/>
      <c r="N12" s="9"/>
      <c r="O12" s="9"/>
      <c r="P12" s="9"/>
      <c r="Q12" s="9"/>
      <c r="R12" s="9"/>
      <c r="S12" s="9"/>
      <c r="T12" s="9"/>
      <c r="U12" s="9"/>
      <c r="V12" s="9"/>
      <c r="W12" s="9"/>
      <c r="X12" s="9"/>
      <c r="Y12" s="9"/>
      <c r="Z12" s="9"/>
      <c r="AA12" s="9"/>
      <c r="AB12" s="133"/>
      <c r="AC12" s="244"/>
      <c r="AD12" s="244"/>
      <c r="AE12" s="244"/>
      <c r="AF12" s="244"/>
      <c r="AG12" s="244"/>
      <c r="AH12" s="244"/>
      <c r="AI12" s="244"/>
      <c r="AJ12" s="244"/>
      <c r="AK12" s="244"/>
      <c r="AL12" s="244"/>
      <c r="AM12" s="244"/>
      <c r="AN12" s="9"/>
      <c r="AO12" s="9"/>
      <c r="AP12" s="9"/>
      <c r="AQ12" s="9"/>
      <c r="AR12" s="9"/>
      <c r="AS12" s="9"/>
      <c r="AT12" s="9"/>
      <c r="AU12" s="9"/>
    </row>
    <row r="13" spans="3:47" s="9" customFormat="1" ht="12.75" customHeight="1">
      <c r="C13" s="206" t="str">
        <f>IF(U5="","",IF(U5="New product/s never assessed before","2.",IF(U5="Review of expired product/s with new models being added","2.",IF(OR(U5="Review of expired only product/s with no change since previous approval",U5="Review of existing product/s that has had issues identified with it in the field",U5="Review of existing product/s with new changes made since last approval"),"2.",""))))</f>
        <v/>
      </c>
      <c r="D13" s="479" t="str">
        <f>IF(U5="","",IF(U5="&lt; SELECT HERE! &gt;","",IF(U5&lt;&gt;"","Prepare application acknowledgement e-mail using this e-mail template:","No need to update the register as product and models already on the system.")))</f>
        <v/>
      </c>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480" t="str">
        <f>IF(OR(D13="",D13="No need to update the register as product and models already on the system."),"","62023096")</f>
        <v/>
      </c>
      <c r="AC13" s="480"/>
      <c r="AD13" s="480"/>
      <c r="AE13" s="480"/>
      <c r="AF13" s="480"/>
      <c r="AG13" s="480"/>
      <c r="AH13" s="480"/>
      <c r="AI13" s="480"/>
      <c r="AJ13" s="480"/>
      <c r="AK13" s="480"/>
      <c r="AL13" s="480"/>
      <c r="AM13" s="480"/>
    </row>
    <row r="14" spans="3:47" s="9" customFormat="1" ht="12.75" customHeight="1">
      <c r="C14" s="208"/>
      <c r="D14" s="481" t="str">
        <f>IF(U5="","",IF(U5="&lt; SELECT HERE! &gt;","","NEXUS Reference:"))</f>
        <v/>
      </c>
      <c r="E14" s="688"/>
      <c r="F14" s="688"/>
      <c r="G14" s="688"/>
      <c r="H14" s="688"/>
      <c r="I14" s="688"/>
      <c r="J14" s="688"/>
      <c r="K14" s="688"/>
      <c r="L14" s="688"/>
      <c r="M14" s="688"/>
      <c r="N14" s="688"/>
      <c r="O14" s="688"/>
      <c r="P14" s="688"/>
      <c r="Q14" s="688"/>
      <c r="R14" s="688"/>
      <c r="S14" s="688"/>
      <c r="T14" s="688"/>
      <c r="U14" s="688"/>
      <c r="V14" s="688"/>
      <c r="W14" s="688"/>
      <c r="X14" s="688"/>
      <c r="Y14" s="688"/>
      <c r="Z14" s="688"/>
      <c r="AA14" s="688"/>
      <c r="AB14" s="476" t="str">
        <f>IF(U5="","",IF(OR(U5="New product/s never assessed before",U5="Review of expired product/s with new models being added",U5="Review of expired only product/s with no change since previous approval",U5="Review of existing product/s that has had issues identified with it in the field",U5="Review of existing product/s with new changes made since last approval"),"&lt; enter NEXUS Reference and (sub) version number &gt;",""))</f>
        <v/>
      </c>
      <c r="AC14" s="482"/>
      <c r="AD14" s="482"/>
      <c r="AE14" s="482"/>
      <c r="AF14" s="482"/>
      <c r="AG14" s="482"/>
      <c r="AH14" s="482"/>
      <c r="AI14" s="482"/>
      <c r="AJ14" s="482"/>
      <c r="AK14" s="482"/>
      <c r="AL14" s="482"/>
      <c r="AM14" s="482"/>
    </row>
    <row r="15" spans="3:47" s="9" customFormat="1" ht="12.75" customHeight="1">
      <c r="C15" s="119"/>
      <c r="D15" s="481" t="str">
        <f>IF(U5="","",IF(U5="&lt; SELECT HERE! &gt;","","Time taken to Send Acknowledgement (minutes):"))</f>
        <v/>
      </c>
      <c r="E15" s="688"/>
      <c r="F15" s="688"/>
      <c r="G15" s="688"/>
      <c r="H15" s="688"/>
      <c r="I15" s="688"/>
      <c r="J15" s="688"/>
      <c r="K15" s="688"/>
      <c r="L15" s="688"/>
      <c r="M15" s="688"/>
      <c r="N15" s="688"/>
      <c r="O15" s="688"/>
      <c r="P15" s="688"/>
      <c r="Q15" s="688"/>
      <c r="R15" s="688"/>
      <c r="S15" s="688"/>
      <c r="T15" s="688"/>
      <c r="U15" s="688"/>
      <c r="V15" s="688"/>
      <c r="W15" s="688"/>
      <c r="X15" s="688"/>
      <c r="Y15" s="688"/>
      <c r="Z15" s="688"/>
      <c r="AA15" s="688"/>
      <c r="AB15" s="476" t="str">
        <f>IF(U5="","",IF(OR(U5="New product/s never assessed before",U5="Review of expired product/s with new models being added",U5="Review of expired only product/s with no change since previous approval",U5="Review of existing product/s that has had issues identified with it in the field",U5="Review of existing product/s with new changes made since last approval"),"&lt; enter time taken &gt;",""))</f>
        <v/>
      </c>
      <c r="AC15" s="482"/>
      <c r="AD15" s="482"/>
      <c r="AE15" s="482"/>
      <c r="AF15" s="482"/>
      <c r="AG15" s="482"/>
      <c r="AH15" s="482"/>
      <c r="AI15" s="482"/>
      <c r="AJ15" s="482"/>
      <c r="AK15" s="482"/>
      <c r="AL15" s="482"/>
      <c r="AM15" s="482"/>
    </row>
    <row r="16" spans="3:47" ht="6.95" customHeight="1">
      <c r="C16" s="14"/>
      <c r="D16" s="207"/>
      <c r="E16" s="210"/>
      <c r="F16" s="210"/>
      <c r="G16" s="210"/>
      <c r="H16" s="210"/>
      <c r="I16" s="210"/>
      <c r="J16" s="210"/>
      <c r="K16" s="210"/>
      <c r="L16" s="210"/>
      <c r="M16" s="210"/>
      <c r="N16" s="210"/>
      <c r="O16" s="210"/>
      <c r="P16" s="210"/>
      <c r="Q16" s="210"/>
      <c r="R16" s="210"/>
      <c r="S16" s="210"/>
      <c r="T16" s="9"/>
      <c r="U16" s="9"/>
      <c r="V16" s="9"/>
      <c r="W16" s="210"/>
      <c r="X16" s="210"/>
      <c r="Y16" s="210"/>
      <c r="Z16" s="210"/>
      <c r="AA16" s="210"/>
      <c r="AB16" s="210"/>
      <c r="AC16" s="210"/>
      <c r="AD16" s="210"/>
      <c r="AE16" s="210"/>
      <c r="AF16" s="9"/>
      <c r="AG16" s="9"/>
      <c r="AH16" s="9"/>
      <c r="AI16" s="9"/>
      <c r="AJ16" s="9"/>
      <c r="AK16" s="9"/>
      <c r="AL16" s="9"/>
      <c r="AM16" s="9"/>
      <c r="AN16" s="9"/>
      <c r="AO16" s="9"/>
      <c r="AP16" s="9"/>
      <c r="AQ16" s="9"/>
      <c r="AR16" s="9"/>
      <c r="AS16" s="9"/>
      <c r="AT16" s="9"/>
      <c r="AU16" s="9"/>
    </row>
    <row r="17" spans="3:47">
      <c r="C17" s="206" t="str">
        <f>IF(U5="","",IF(U5="New product/s never assessed before","3.",IF(U5="Review of expired product/s with new models being added","3.",IF(OR(U5="Review of expired only product/s with no change since previous approval",U5="Review of existing product/s that has had issues identified with it in the field",U5="Review of existing product/s with new changes made since last approval"),"3.",""))))</f>
        <v/>
      </c>
      <c r="D17" s="479" t="str">
        <f>IF(U5="","",IF(U5="New product/s never assessed before","Create a new index entry onto the Index and Activity Status Sheet:",IF(OR(U5="Review of expired only product/s with no change since previous approval",U5="Review of existing product/s that has had issues identified with it in the field",U5="Review of expired product/s with new models being added",U5="Review of existing product/s with new changes made since last approval"),"Update the existing index entry from the Index and Activity Status Sheet to signify a reappraisal:","")))</f>
        <v/>
      </c>
      <c r="E17" s="688"/>
      <c r="F17" s="688"/>
      <c r="G17" s="688"/>
      <c r="H17" s="688"/>
      <c r="I17" s="688"/>
      <c r="J17" s="688"/>
      <c r="K17" s="688"/>
      <c r="L17" s="688"/>
      <c r="M17" s="688"/>
      <c r="N17" s="688"/>
      <c r="O17" s="688"/>
      <c r="P17" s="688"/>
      <c r="Q17" s="688"/>
      <c r="R17" s="688"/>
      <c r="S17" s="688"/>
      <c r="T17" s="688"/>
      <c r="U17" s="688"/>
      <c r="V17" s="688"/>
      <c r="W17" s="688"/>
      <c r="X17" s="688"/>
      <c r="Y17" s="688"/>
      <c r="Z17" s="688"/>
      <c r="AA17" s="688"/>
      <c r="AB17" s="480" t="str">
        <f>IF(OR(D17="",D17="No need to update the register as product and models already on the system."),"","58979569 (PA - Index and Activity Sheet)")</f>
        <v/>
      </c>
      <c r="AC17" s="480"/>
      <c r="AD17" s="480"/>
      <c r="AE17" s="480"/>
      <c r="AF17" s="480"/>
      <c r="AG17" s="480"/>
      <c r="AH17" s="480"/>
      <c r="AI17" s="480"/>
      <c r="AJ17" s="480"/>
      <c r="AK17" s="480"/>
      <c r="AL17" s="480"/>
      <c r="AM17" s="480"/>
      <c r="AN17" s="9"/>
      <c r="AO17" s="9"/>
      <c r="AP17" s="9"/>
      <c r="AQ17" s="9"/>
      <c r="AR17" s="9"/>
      <c r="AS17" s="9"/>
      <c r="AT17" s="9"/>
      <c r="AU17" s="9"/>
    </row>
    <row r="18" spans="3:47">
      <c r="C18" s="9"/>
      <c r="D18" s="481" t="str">
        <f>IF(U5="","",IF(OR(U5="New product/s never assessed before",U5="Review of expired product/s with new models being added"),"Time taken to create and enter the new product onto the Index and Activity Status Sheet (minutes):",IF(OR(U5="Review of expired only product/s with no change since previous approval",U5="Review of existing product/s with new changes made since last approval"),"Time taken to update Make/Model below AND the Index and Activity Status Sheet (minutes):",IF(U5="Review of existing product/s that has had issues identified with it in the field","Time taken to update Make/Model below AND the Index and Activity Status Sheet (minutes):",""))))</f>
        <v/>
      </c>
      <c r="E18" s="688"/>
      <c r="F18" s="688"/>
      <c r="G18" s="688"/>
      <c r="H18" s="688"/>
      <c r="I18" s="688"/>
      <c r="J18" s="688"/>
      <c r="K18" s="688"/>
      <c r="L18" s="688"/>
      <c r="M18" s="688"/>
      <c r="N18" s="688"/>
      <c r="O18" s="688"/>
      <c r="P18" s="688"/>
      <c r="Q18" s="688"/>
      <c r="R18" s="688"/>
      <c r="S18" s="688"/>
      <c r="T18" s="688"/>
      <c r="U18" s="688"/>
      <c r="V18" s="688"/>
      <c r="W18" s="688"/>
      <c r="X18" s="688"/>
      <c r="Y18" s="688"/>
      <c r="Z18" s="688"/>
      <c r="AA18" s="688"/>
      <c r="AB18" s="476" t="str">
        <f>IF(U5="","",IF(OR(U5="New product/s never assessed before",U5="Review of expired product/s with new models being added",U5="Review of expired only product/s with no change since previous approval",U5="Review of existing product/s that has had issues identified with it in the field",U5="Review of existing product/s with new changes made since last approval"),"&lt; enter time taken &gt;",""))</f>
        <v/>
      </c>
      <c r="AC18" s="482"/>
      <c r="AD18" s="482"/>
      <c r="AE18" s="482"/>
      <c r="AF18" s="482"/>
      <c r="AG18" s="482"/>
      <c r="AH18" s="482"/>
      <c r="AI18" s="482"/>
      <c r="AJ18" s="482"/>
      <c r="AK18" s="482"/>
      <c r="AL18" s="482"/>
      <c r="AM18" s="482"/>
      <c r="AN18" s="9"/>
      <c r="AO18" s="9"/>
      <c r="AP18" s="9"/>
      <c r="AQ18" s="9"/>
      <c r="AR18" s="9"/>
      <c r="AS18" s="9"/>
      <c r="AT18" s="9"/>
      <c r="AU18" s="9"/>
    </row>
    <row r="19" spans="3:47" ht="6.95" customHeight="1">
      <c r="C19" s="9"/>
      <c r="D19" s="81"/>
      <c r="E19" s="9"/>
      <c r="F19" s="9"/>
      <c r="G19" s="9"/>
      <c r="H19" s="9"/>
      <c r="I19" s="9"/>
      <c r="J19" s="9"/>
      <c r="K19" s="9"/>
      <c r="L19" s="9"/>
      <c r="M19" s="9"/>
      <c r="N19" s="9"/>
      <c r="O19" s="9"/>
      <c r="P19" s="9"/>
      <c r="Q19" s="9"/>
      <c r="R19" s="9"/>
      <c r="S19" s="9"/>
      <c r="T19" s="9"/>
      <c r="U19" s="9"/>
      <c r="V19" s="9"/>
      <c r="W19" s="9"/>
      <c r="X19" s="9"/>
      <c r="Y19" s="9"/>
      <c r="Z19" s="9"/>
      <c r="AA19" s="9"/>
      <c r="AB19" s="133"/>
      <c r="AC19" s="244"/>
      <c r="AD19" s="244"/>
      <c r="AE19" s="244"/>
      <c r="AF19" s="244"/>
      <c r="AG19" s="244"/>
      <c r="AH19" s="244"/>
      <c r="AI19" s="244"/>
      <c r="AJ19" s="244"/>
      <c r="AK19" s="244"/>
      <c r="AL19" s="244"/>
      <c r="AM19" s="244"/>
      <c r="AN19" s="9"/>
      <c r="AO19" s="9"/>
      <c r="AP19" s="9"/>
      <c r="AQ19" s="9"/>
      <c r="AR19" s="9"/>
      <c r="AS19" s="9"/>
      <c r="AT19" s="9"/>
      <c r="AU19" s="9"/>
    </row>
    <row r="20" spans="3:47">
      <c r="C20" s="206" t="str">
        <f>IF(U5="","",IF(U5="&lt; SELECT HERE! &gt;","",IF(U5="New product/s never assessed before","4.",IF(U5="Review of expired product/s with new models being added","4.",IF(OR(U5="Review of expired only product/s with no change since previous approval",U5="Review of existing product/s that has had issues identified with it in the field",U5="Review of existing product/s with new changes made since last approval"),"")))))</f>
        <v/>
      </c>
      <c r="D20" s="479" t="str">
        <f>IF(U5="","",IF(OR(U5="New product/s never assessed before",U5="Review of expired product/s with new models being added"),"Enter new product or models on the Product Register (WI 2-5-1):",""))</f>
        <v/>
      </c>
      <c r="E20" s="688"/>
      <c r="F20" s="688"/>
      <c r="G20" s="688"/>
      <c r="H20" s="688"/>
      <c r="I20" s="688"/>
      <c r="J20" s="688"/>
      <c r="K20" s="688"/>
      <c r="L20" s="688"/>
      <c r="M20" s="688"/>
      <c r="N20" s="688"/>
      <c r="O20" s="688"/>
      <c r="P20" s="688"/>
      <c r="Q20" s="688"/>
      <c r="R20" s="688"/>
      <c r="S20" s="688"/>
      <c r="T20" s="688"/>
      <c r="U20" s="688"/>
      <c r="V20" s="688"/>
      <c r="W20" s="688"/>
      <c r="X20" s="688"/>
      <c r="Y20" s="688"/>
      <c r="Z20" s="688"/>
      <c r="AA20" s="688"/>
      <c r="AB20" s="480" t="str">
        <f>IF(OR(D20="",D20="No need to update the Product Approval Register as product and models already on the system."),"","58979569 (Product Register)")</f>
        <v/>
      </c>
      <c r="AC20" s="480"/>
      <c r="AD20" s="480"/>
      <c r="AE20" s="480"/>
      <c r="AF20" s="480"/>
      <c r="AG20" s="480"/>
      <c r="AH20" s="480"/>
      <c r="AI20" s="480"/>
      <c r="AJ20" s="480"/>
      <c r="AK20" s="480"/>
      <c r="AL20" s="480"/>
      <c r="AM20" s="480"/>
      <c r="AN20" s="9"/>
      <c r="AO20" s="9"/>
      <c r="AP20" s="9"/>
      <c r="AQ20" s="9"/>
      <c r="AR20" s="9"/>
      <c r="AS20" s="9"/>
      <c r="AT20" s="9"/>
      <c r="AU20" s="9"/>
    </row>
    <row r="21" spans="3:47">
      <c r="C21" s="9"/>
      <c r="D21" s="481" t="str">
        <f>IF(U5="","",IF(U5="New product/s never assessed before","Time taken to enter on the Product Register (minutes):",IF(U5="Review of expired product/s with new models being added","Time taken to enter Make/Model below AND on the Product Register (minutes):","")))</f>
        <v/>
      </c>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476" t="str">
        <f>IF(U5="","",IF(OR(U5="New product/s never assessed before",U5="Review of expired product/s with new models being added"),"&lt; enter time taken &gt;",""))</f>
        <v/>
      </c>
      <c r="AC21" s="482"/>
      <c r="AD21" s="482"/>
      <c r="AE21" s="482"/>
      <c r="AF21" s="482"/>
      <c r="AG21" s="482"/>
      <c r="AH21" s="482"/>
      <c r="AI21" s="482"/>
      <c r="AJ21" s="482"/>
      <c r="AK21" s="482"/>
      <c r="AL21" s="482"/>
      <c r="AM21" s="482"/>
      <c r="AN21" s="9"/>
      <c r="AO21" s="9"/>
      <c r="AP21" s="9"/>
      <c r="AQ21" s="9"/>
      <c r="AR21" s="9"/>
      <c r="AS21" s="9"/>
      <c r="AT21" s="9"/>
      <c r="AU21" s="9"/>
    </row>
    <row r="22" spans="3:47" ht="6.95" customHeight="1">
      <c r="C22" s="9"/>
      <c r="D22" s="81"/>
      <c r="E22" s="9"/>
      <c r="F22" s="9"/>
      <c r="G22" s="9"/>
      <c r="H22" s="9"/>
      <c r="I22" s="9"/>
      <c r="J22" s="9"/>
      <c r="K22" s="9"/>
      <c r="L22" s="9"/>
      <c r="M22" s="9"/>
      <c r="N22" s="9"/>
      <c r="O22" s="9"/>
      <c r="P22" s="9"/>
      <c r="Q22" s="9"/>
      <c r="R22" s="9"/>
      <c r="S22" s="9"/>
      <c r="T22" s="9"/>
      <c r="U22" s="9"/>
      <c r="V22" s="9"/>
      <c r="W22" s="9"/>
      <c r="X22" s="9"/>
      <c r="Y22" s="9"/>
      <c r="Z22" s="9"/>
      <c r="AA22" s="9"/>
      <c r="AB22" s="133"/>
      <c r="AC22" s="244"/>
      <c r="AD22" s="244"/>
      <c r="AE22" s="244"/>
      <c r="AF22" s="244"/>
      <c r="AG22" s="244"/>
      <c r="AH22" s="244"/>
      <c r="AI22" s="244"/>
      <c r="AJ22" s="244"/>
      <c r="AK22" s="244"/>
      <c r="AL22" s="244"/>
      <c r="AM22" s="244"/>
      <c r="AN22" s="9"/>
      <c r="AO22" s="9"/>
      <c r="AP22" s="9"/>
      <c r="AQ22" s="9"/>
      <c r="AR22" s="9"/>
      <c r="AS22" s="9"/>
      <c r="AT22" s="9"/>
      <c r="AU22" s="9"/>
    </row>
    <row r="23" spans="3:47">
      <c r="C23" s="206" t="str">
        <f>IF(U5="","",IF(U5="&lt; SELECT HERE! &gt;","",IF(U5="New product/s never assessed before","5.",IF(OR(U5="Review of expired only product/s with no change since previous approval",U5="Review of expired product/s with new models being added",U5="Review of existing product/s that has had issues identified with it in the field",U5="Review of existing product/s with new changes made since last approval"),""))))</f>
        <v/>
      </c>
      <c r="D23" s="479" t="str">
        <f>IF(U5="","",IF(OR(U5="New product/s never assessed before"),"Make a new NEXUS folder and place it under the following 01 - New Applications folder:",""))</f>
        <v/>
      </c>
      <c r="E23" s="688"/>
      <c r="F23" s="688"/>
      <c r="G23" s="688"/>
      <c r="H23" s="688"/>
      <c r="I23" s="688"/>
      <c r="J23" s="688"/>
      <c r="K23" s="688"/>
      <c r="L23" s="688"/>
      <c r="M23" s="688"/>
      <c r="N23" s="688"/>
      <c r="O23" s="688"/>
      <c r="P23" s="688"/>
      <c r="Q23" s="688"/>
      <c r="R23" s="688"/>
      <c r="S23" s="688"/>
      <c r="T23" s="688"/>
      <c r="U23" s="688"/>
      <c r="V23" s="688"/>
      <c r="W23" s="688"/>
      <c r="X23" s="688"/>
      <c r="Y23" s="688"/>
      <c r="Z23" s="688"/>
      <c r="AA23" s="688"/>
      <c r="AB23" s="480" t="str">
        <f>IF(OR(D23="",D23="No need to update the register as product and models already on the system."),"","59816633")</f>
        <v/>
      </c>
      <c r="AC23" s="480"/>
      <c r="AD23" s="480"/>
      <c r="AE23" s="480"/>
      <c r="AF23" s="480"/>
      <c r="AG23" s="480"/>
      <c r="AH23" s="480"/>
      <c r="AI23" s="480"/>
      <c r="AJ23" s="480"/>
      <c r="AK23" s="480"/>
      <c r="AL23" s="480"/>
      <c r="AM23" s="480"/>
      <c r="AN23" s="9"/>
      <c r="AO23" s="319"/>
      <c r="AP23" s="9"/>
      <c r="AQ23" s="9"/>
      <c r="AR23" s="9"/>
      <c r="AS23" s="9"/>
      <c r="AT23" s="9"/>
      <c r="AU23" s="9"/>
    </row>
    <row r="24" spans="3:47">
      <c r="C24" s="9"/>
      <c r="D24" s="197" t="str">
        <f>IF(D23&lt;&gt;"",".","")</f>
        <v/>
      </c>
      <c r="E24" s="483" t="str">
        <f>IF(U5="","",IF(U5="New product/s never assessed before","TIME LAG MAY EXIST IF NO BLANK FOLDERS AVAILABLE!  MUST WAIT UNTIL THE BMO WHO MANAGES NEXUS FOR C&amp;IS HAS CREATED NEW BLANK FOLDERS TO USE.",""))</f>
        <v/>
      </c>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197" t="str">
        <f>IF(AB23&lt;&gt;"",".","")</f>
        <v/>
      </c>
      <c r="AN24" s="9"/>
      <c r="AO24" s="319"/>
      <c r="AP24" s="9"/>
      <c r="AQ24" s="9"/>
      <c r="AR24" s="9"/>
      <c r="AS24" s="9"/>
      <c r="AT24" s="9"/>
      <c r="AU24" s="9"/>
    </row>
    <row r="25" spans="3:47">
      <c r="C25" s="9"/>
      <c r="D25" s="481" t="str">
        <f>IF(U5="","",IF(OR(U5="New product/s never assessed before"),"Time taken to make the new folder (minutes, DO NOT include any time spent by BMO):",""))</f>
        <v/>
      </c>
      <c r="E25" s="688"/>
      <c r="F25" s="688"/>
      <c r="G25" s="688"/>
      <c r="H25" s="688"/>
      <c r="I25" s="688"/>
      <c r="J25" s="688"/>
      <c r="K25" s="688"/>
      <c r="L25" s="688"/>
      <c r="M25" s="688"/>
      <c r="N25" s="688"/>
      <c r="O25" s="688"/>
      <c r="P25" s="688"/>
      <c r="Q25" s="688"/>
      <c r="R25" s="688"/>
      <c r="S25" s="688"/>
      <c r="T25" s="688"/>
      <c r="U25" s="688"/>
      <c r="V25" s="688"/>
      <c r="W25" s="688"/>
      <c r="X25" s="688"/>
      <c r="Y25" s="688"/>
      <c r="Z25" s="688"/>
      <c r="AA25" s="688"/>
      <c r="AB25" s="476" t="str">
        <f>IF(U5="","",IF(OR(U5="New product/s never assessed before"),"&lt; enter time taken &gt;",""))</f>
        <v/>
      </c>
      <c r="AC25" s="482"/>
      <c r="AD25" s="482"/>
      <c r="AE25" s="482"/>
      <c r="AF25" s="482"/>
      <c r="AG25" s="482"/>
      <c r="AH25" s="482"/>
      <c r="AI25" s="482"/>
      <c r="AJ25" s="482"/>
      <c r="AK25" s="482"/>
      <c r="AL25" s="482"/>
      <c r="AM25" s="482"/>
      <c r="AN25" s="9"/>
      <c r="AO25" s="319"/>
      <c r="AP25" s="9"/>
      <c r="AQ25" s="9"/>
      <c r="AR25" s="9"/>
      <c r="AS25" s="9"/>
      <c r="AT25" s="9"/>
      <c r="AU25" s="9"/>
    </row>
    <row r="26" spans="3:47" ht="6.95" customHeight="1">
      <c r="C26" s="9"/>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9"/>
      <c r="AO26" s="319"/>
      <c r="AP26" s="9"/>
      <c r="AQ26" s="9"/>
      <c r="AR26" s="9"/>
      <c r="AS26" s="9"/>
      <c r="AT26" s="9"/>
      <c r="AU26" s="9"/>
    </row>
    <row r="27" spans="3:47">
      <c r="C27" s="206" t="str">
        <f>IF(U5="","",IF(U5="&lt; SELECT HERE! &gt;","",IF(U5="New product/s never assessed before","6.",IF(OR(U5="Review of expired only product/s with no change since previous approval",U5="Review of expired product/s with new models being added",U5="Review of existing product/s that has had issues identified with it in the field",U5="Review of existing product/s with new changes made since last approval"),""))))</f>
        <v/>
      </c>
      <c r="D27" s="483" t="str">
        <f>IF(U5="","",IF(U5="New product/s never assessed before","NEW NEXUS FOLDER HAS NOW BEEN CREATED.",""))</f>
        <v/>
      </c>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9"/>
      <c r="AO27" s="319"/>
      <c r="AP27" s="9"/>
      <c r="AQ27" s="9"/>
      <c r="AR27" s="9"/>
      <c r="AS27" s="9"/>
      <c r="AT27" s="9"/>
      <c r="AU27" s="9"/>
    </row>
    <row r="28" spans="3:47">
      <c r="C28" s="206"/>
      <c r="D28" s="211" t="str">
        <f>IF(D27&lt;&gt;"",".","")</f>
        <v/>
      </c>
      <c r="E28" s="483" t="str">
        <f>IF(U5="","",IF(U5='(admin) Drop Down Variables'!D11,"MOVE THE PREVIOUSLY SAVED APPLICATION E-MAIL AND E-FROM FROM YOUR PERSONAL NEXUS FOLDER INTO THIS NEW NEXUS FOLDER.",""))</f>
        <v/>
      </c>
      <c r="F28" s="485"/>
      <c r="G28" s="485"/>
      <c r="H28" s="485"/>
      <c r="I28" s="485"/>
      <c r="J28" s="485"/>
      <c r="K28" s="485"/>
      <c r="L28" s="485"/>
      <c r="M28" s="485"/>
      <c r="N28" s="485"/>
      <c r="O28" s="485"/>
      <c r="P28" s="485"/>
      <c r="Q28" s="485"/>
      <c r="R28" s="485"/>
      <c r="S28" s="485"/>
      <c r="T28" s="485"/>
      <c r="U28" s="485"/>
      <c r="V28" s="485"/>
      <c r="W28" s="485"/>
      <c r="X28" s="485"/>
      <c r="Y28" s="485"/>
      <c r="Z28" s="485"/>
      <c r="AA28" s="485"/>
      <c r="AB28" s="485"/>
      <c r="AC28" s="485"/>
      <c r="AD28" s="485"/>
      <c r="AE28" s="485"/>
      <c r="AF28" s="485"/>
      <c r="AG28" s="485"/>
      <c r="AH28" s="485"/>
      <c r="AI28" s="485"/>
      <c r="AJ28" s="485"/>
      <c r="AK28" s="485"/>
      <c r="AL28" s="485"/>
      <c r="AM28" s="211" t="str">
        <f>IF(AB23&lt;&gt;"",".","")</f>
        <v/>
      </c>
      <c r="AN28" s="9"/>
      <c r="AO28" s="319"/>
      <c r="AP28" s="9"/>
      <c r="AQ28" s="9"/>
      <c r="AR28" s="9"/>
      <c r="AS28" s="9"/>
      <c r="AT28" s="9"/>
      <c r="AU28" s="9"/>
    </row>
    <row r="29" spans="3:47">
      <c r="C29" s="9"/>
      <c r="D29" s="481" t="str">
        <f>IF(U5="","",IF(OR(U5="New product/s never assessed before"),"Time taken to enter Make/Model below AND transfer all received / created documents in new NEXUS folder (minutes):",""))</f>
        <v/>
      </c>
      <c r="E29" s="688"/>
      <c r="F29" s="688"/>
      <c r="G29" s="688"/>
      <c r="H29" s="688"/>
      <c r="I29" s="688"/>
      <c r="J29" s="688"/>
      <c r="K29" s="688"/>
      <c r="L29" s="688"/>
      <c r="M29" s="688"/>
      <c r="N29" s="688"/>
      <c r="O29" s="688"/>
      <c r="P29" s="688"/>
      <c r="Q29" s="688"/>
      <c r="R29" s="688"/>
      <c r="S29" s="688"/>
      <c r="T29" s="688"/>
      <c r="U29" s="688"/>
      <c r="V29" s="688"/>
      <c r="W29" s="688"/>
      <c r="X29" s="688"/>
      <c r="Y29" s="688"/>
      <c r="Z29" s="688"/>
      <c r="AA29" s="688"/>
      <c r="AB29" s="476" t="str">
        <f>IF(U5="","",IF(OR(U5="New product/s never assessed before"),"&lt; enter time taken &gt;",""))</f>
        <v/>
      </c>
      <c r="AC29" s="482"/>
      <c r="AD29" s="482"/>
      <c r="AE29" s="482"/>
      <c r="AF29" s="482"/>
      <c r="AG29" s="482"/>
      <c r="AH29" s="482"/>
      <c r="AI29" s="482"/>
      <c r="AJ29" s="482"/>
      <c r="AK29" s="482"/>
      <c r="AL29" s="482"/>
      <c r="AM29" s="482"/>
      <c r="AN29" s="9"/>
      <c r="AO29" s="319"/>
      <c r="AP29" s="9"/>
      <c r="AQ29" s="9"/>
      <c r="AR29" s="9"/>
      <c r="AS29" s="9"/>
      <c r="AT29" s="9"/>
      <c r="AU29" s="9"/>
    </row>
    <row r="30" spans="3:47" ht="6.95" customHeight="1">
      <c r="C30" s="9"/>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9"/>
      <c r="AO30" s="9"/>
      <c r="AP30" s="9"/>
      <c r="AQ30" s="9"/>
      <c r="AR30" s="9"/>
      <c r="AS30" s="9"/>
      <c r="AT30" s="9"/>
      <c r="AU30" s="9"/>
    </row>
    <row r="32" spans="3:47" s="9" customFormat="1" ht="15" customHeight="1">
      <c r="C32"/>
      <c r="D32" s="486" t="str">
        <f>IF(U5="&lt; SELECT HERE! &gt;","","Applicant:")</f>
        <v/>
      </c>
      <c r="E32" s="678"/>
      <c r="F32" s="678"/>
      <c r="G32" s="678"/>
      <c r="H32" s="678"/>
      <c r="I32" s="678"/>
      <c r="J32" s="678"/>
      <c r="K32" s="678"/>
      <c r="L32" s="487" t="str">
        <f>IF(U5="&lt; SELECT HERE! &gt;","",'2. Application'!E12)</f>
        <v/>
      </c>
      <c r="M32" s="678"/>
      <c r="N32" s="678"/>
      <c r="O32" s="678"/>
      <c r="P32" s="678"/>
      <c r="Q32" s="678"/>
      <c r="R32" s="678"/>
      <c r="S32" s="678"/>
      <c r="T32" s="678"/>
      <c r="U32" s="678"/>
      <c r="V32" s="678"/>
      <c r="W32" s="678"/>
      <c r="X32" s="678"/>
      <c r="Y32" s="678"/>
      <c r="Z32" s="678"/>
      <c r="AA32" s="678"/>
      <c r="AB32" s="678"/>
      <c r="AC32" s="678"/>
      <c r="AD32" s="678"/>
      <c r="AE32" s="678"/>
      <c r="AF32" s="678"/>
      <c r="AG32" s="678"/>
      <c r="AH32" s="678"/>
      <c r="AI32" s="678"/>
      <c r="AJ32" s="678"/>
      <c r="AK32" s="678"/>
      <c r="AL32" s="678"/>
      <c r="AM32" s="678"/>
    </row>
    <row r="33" spans="3:39" s="9" customFormat="1" ht="15" customHeight="1">
      <c r="C33"/>
      <c r="D33" s="486" t="str">
        <f>IF(U5="&lt; SELECT HERE! &gt;","","Manufacturer:")</f>
        <v/>
      </c>
      <c r="E33" s="678"/>
      <c r="F33" s="678"/>
      <c r="G33" s="678"/>
      <c r="H33" s="678"/>
      <c r="I33" s="678"/>
      <c r="J33" s="678"/>
      <c r="K33" s="678"/>
      <c r="L33" s="487" t="str">
        <f>IF(U5="&lt; SELECT HERE! &gt;","",'2. Application'!E22)</f>
        <v/>
      </c>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row>
    <row r="34" spans="3:39" s="9" customFormat="1" ht="15" customHeight="1">
      <c r="C34"/>
      <c r="D34" s="486" t="str">
        <f>IF(U5="&lt; SELECT HERE! &gt;","","Make:")</f>
        <v/>
      </c>
      <c r="E34" s="678"/>
      <c r="F34" s="678"/>
      <c r="G34" s="678"/>
      <c r="H34" s="678"/>
      <c r="I34" s="678"/>
      <c r="J34" s="678"/>
      <c r="K34" s="678"/>
      <c r="L34" s="488" t="str">
        <f>IF(U5="&lt; SELECT HERE! &gt;","","&lt;Add make name here&gt;")</f>
        <v/>
      </c>
      <c r="M34" s="489"/>
      <c r="N34" s="489"/>
      <c r="O34" s="489"/>
      <c r="P34" s="489"/>
      <c r="Q34" s="489"/>
      <c r="R34" s="489"/>
      <c r="S34" s="489"/>
      <c r="T34" s="489"/>
      <c r="U34" s="489"/>
      <c r="V34" s="489"/>
      <c r="W34" s="489"/>
      <c r="X34" s="489"/>
      <c r="Y34" s="489"/>
      <c r="Z34" s="489"/>
      <c r="AA34" s="489"/>
      <c r="AB34" s="489"/>
      <c r="AC34" s="489"/>
      <c r="AD34" s="489"/>
      <c r="AE34" s="678"/>
      <c r="AF34" s="678"/>
      <c r="AG34" s="678"/>
      <c r="AH34" s="678"/>
      <c r="AI34" s="678"/>
      <c r="AJ34" s="678"/>
      <c r="AK34" s="678"/>
      <c r="AL34" s="678"/>
      <c r="AM34" s="678"/>
    </row>
    <row r="35" spans="3:39" s="9" customFormat="1" ht="15" customHeight="1">
      <c r="C35"/>
      <c r="D35" s="486" t="str">
        <f>IF(U5="&lt; SELECT HERE! &gt;","","Model:")</f>
        <v/>
      </c>
      <c r="E35" s="678"/>
      <c r="F35" s="678"/>
      <c r="G35" s="678"/>
      <c r="H35" s="678"/>
      <c r="I35" s="678"/>
      <c r="J35" s="678"/>
      <c r="K35" s="678"/>
      <c r="L35" s="488" t="str">
        <f>IF(U5="&lt; SELECT HERE! &gt;","","&lt;Add model numbers here&gt;")</f>
        <v/>
      </c>
      <c r="M35" s="489"/>
      <c r="N35" s="489"/>
      <c r="O35" s="489"/>
      <c r="P35" s="489"/>
      <c r="Q35" s="489"/>
      <c r="R35" s="489"/>
      <c r="S35" s="489"/>
      <c r="T35" s="489"/>
      <c r="U35" s="489"/>
      <c r="V35" s="489"/>
      <c r="W35" s="489"/>
      <c r="X35" s="489"/>
      <c r="Y35" s="489"/>
      <c r="Z35" s="489"/>
      <c r="AA35" s="489"/>
      <c r="AB35" s="489"/>
      <c r="AC35" s="489"/>
      <c r="AD35" s="489"/>
      <c r="AE35" s="678"/>
      <c r="AF35" s="678"/>
      <c r="AG35" s="678"/>
      <c r="AH35" s="678"/>
      <c r="AI35" s="678"/>
      <c r="AJ35" s="678"/>
      <c r="AK35" s="678"/>
      <c r="AL35" s="678"/>
      <c r="AM35" s="678"/>
    </row>
    <row r="36" spans="3:39" s="9" customFormat="1" ht="15" customHeight="1">
      <c r="C36"/>
      <c r="D36" s="486" t="str">
        <f>IF(U5="&lt; SELECT HERE! &gt;","","Supplier:")</f>
        <v/>
      </c>
      <c r="E36" s="678"/>
      <c r="F36" s="678"/>
      <c r="G36" s="678"/>
      <c r="H36" s="678"/>
      <c r="I36" s="678"/>
      <c r="J36" s="678"/>
      <c r="K36" s="678"/>
      <c r="L36" s="487" t="str">
        <f>IF(U5="&lt; SELECT HERE! &gt;","",'2. Application'!E33)</f>
        <v/>
      </c>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c r="AK36" s="678"/>
      <c r="AL36" s="678"/>
      <c r="AM36" s="678"/>
    </row>
    <row r="37" spans="3:39" s="9" customFormat="1" ht="15" customHeight="1">
      <c r="C37"/>
      <c r="D37" s="486" t="str">
        <f>IF(U5="&lt; SELECT HERE! &gt;","",IF(U5&lt;&gt;"New product/s never assessed before","Current Approval Number:",""))</f>
        <v/>
      </c>
      <c r="E37" s="678"/>
      <c r="F37" s="678"/>
      <c r="G37" s="678"/>
      <c r="H37" s="678"/>
      <c r="I37" s="678"/>
      <c r="J37" s="678"/>
      <c r="K37" s="678"/>
      <c r="L37" s="494" t="str">
        <f>IF(U5="&lt; SELECT HERE! &gt;","",IF(U5&lt;&gt;"New product/s never assessed before","Click here!  Open the 'Approval Number Issue Log' tab.  Find and record the AN-??? approval number here!",""))</f>
        <v/>
      </c>
      <c r="M37" s="495"/>
      <c r="N37" s="495"/>
      <c r="O37" s="495"/>
      <c r="P37" s="495"/>
      <c r="Q37" s="495"/>
      <c r="R37" s="495"/>
      <c r="S37" s="495"/>
      <c r="T37" s="495"/>
      <c r="U37" s="496"/>
      <c r="V37" s="496"/>
      <c r="W37" s="496"/>
      <c r="X37" s="496"/>
      <c r="Y37" s="496"/>
      <c r="Z37" s="496"/>
      <c r="AA37" s="496"/>
      <c r="AB37" s="496"/>
      <c r="AC37" s="496"/>
      <c r="AD37" s="496"/>
      <c r="AE37" s="496"/>
      <c r="AF37" s="496"/>
      <c r="AG37" s="496"/>
      <c r="AH37" s="496"/>
      <c r="AI37" s="496"/>
      <c r="AJ37" s="496"/>
      <c r="AK37" s="496"/>
      <c r="AL37" s="496"/>
      <c r="AM37" s="496"/>
    </row>
    <row r="38" spans="3:39" s="9" customFormat="1" ht="15" customHeight="1">
      <c r="C38"/>
      <c r="F38"/>
      <c r="T38" s="145"/>
      <c r="U38" s="357"/>
      <c r="V38"/>
      <c r="W38"/>
      <c r="X38"/>
      <c r="Y38"/>
      <c r="Z38"/>
      <c r="AA38"/>
      <c r="AB38"/>
      <c r="AC38"/>
    </row>
    <row r="39" spans="3:39" s="9" customFormat="1" ht="15" customHeight="1">
      <c r="C39"/>
      <c r="D39" s="490" t="str">
        <f>IF(U5="&lt; SELECT HERE! &gt;","","&lt; Add NEXUS document name here that was generated from the Product Appraisal KPI sheet (refer image on right) &gt;")</f>
        <v/>
      </c>
      <c r="E39" s="491"/>
      <c r="F39" s="491"/>
      <c r="G39" s="491"/>
      <c r="H39" s="491"/>
      <c r="I39" s="491"/>
      <c r="J39" s="491"/>
      <c r="K39" s="491"/>
      <c r="L39" s="491"/>
      <c r="M39" s="491"/>
      <c r="N39" s="491"/>
      <c r="O39" s="491"/>
      <c r="P39" s="491"/>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row>
    <row r="40" spans="3:39" s="9" customFormat="1" ht="10.15"/>
    <row r="41" spans="3:39">
      <c r="D41" s="481" t="s">
        <v>94</v>
      </c>
      <c r="E41" s="678"/>
      <c r="F41" s="678"/>
      <c r="G41" s="678"/>
      <c r="H41" s="678"/>
      <c r="I41" s="678"/>
      <c r="J41" s="678"/>
      <c r="K41" s="678"/>
      <c r="L41" s="678"/>
      <c r="M41" s="678"/>
      <c r="N41" s="678"/>
      <c r="O41" s="678"/>
      <c r="P41" s="678"/>
      <c r="Q41" s="678"/>
      <c r="R41" s="678"/>
      <c r="S41" s="678"/>
      <c r="T41" s="678"/>
      <c r="U41" s="678"/>
      <c r="V41" s="678"/>
      <c r="W41" s="678"/>
      <c r="X41" s="678"/>
      <c r="Y41" s="678"/>
      <c r="Z41" s="678"/>
      <c r="AA41" s="678"/>
      <c r="AB41" s="492" t="s">
        <v>95</v>
      </c>
      <c r="AC41" s="493"/>
      <c r="AD41" s="493"/>
      <c r="AE41" s="493"/>
      <c r="AF41" s="493"/>
      <c r="AG41" s="493"/>
      <c r="AH41" s="493"/>
      <c r="AI41" s="493"/>
      <c r="AJ41" s="493"/>
      <c r="AK41" s="493"/>
      <c r="AL41" s="493"/>
      <c r="AM41" s="493"/>
    </row>
  </sheetData>
  <mergeCells count="46">
    <mergeCell ref="D39:AM39"/>
    <mergeCell ref="D41:AA41"/>
    <mergeCell ref="AB41:AM41"/>
    <mergeCell ref="D35:K35"/>
    <mergeCell ref="L35:AM35"/>
    <mergeCell ref="D36:K36"/>
    <mergeCell ref="L36:AM36"/>
    <mergeCell ref="D37:K37"/>
    <mergeCell ref="L37:AM37"/>
    <mergeCell ref="D32:K32"/>
    <mergeCell ref="L32:AM32"/>
    <mergeCell ref="D33:K33"/>
    <mergeCell ref="L33:AM33"/>
    <mergeCell ref="D34:K34"/>
    <mergeCell ref="L34:AM34"/>
    <mergeCell ref="D29:AA29"/>
    <mergeCell ref="AB29:AM29"/>
    <mergeCell ref="D20:AA20"/>
    <mergeCell ref="AB20:AM20"/>
    <mergeCell ref="D21:AA21"/>
    <mergeCell ref="AB21:AM21"/>
    <mergeCell ref="D23:AA23"/>
    <mergeCell ref="AB23:AM23"/>
    <mergeCell ref="E24:AL24"/>
    <mergeCell ref="D25:AA25"/>
    <mergeCell ref="AB25:AM25"/>
    <mergeCell ref="D27:AM27"/>
    <mergeCell ref="E28:AL28"/>
    <mergeCell ref="D15:AA15"/>
    <mergeCell ref="AB15:AM15"/>
    <mergeCell ref="D17:AA17"/>
    <mergeCell ref="AB17:AM17"/>
    <mergeCell ref="D18:AA18"/>
    <mergeCell ref="AB18:AM18"/>
    <mergeCell ref="D11:AA11"/>
    <mergeCell ref="AB11:AM11"/>
    <mergeCell ref="D13:AA13"/>
    <mergeCell ref="AB13:AM13"/>
    <mergeCell ref="D14:AA14"/>
    <mergeCell ref="AB14:AM14"/>
    <mergeCell ref="E10:AL10"/>
    <mergeCell ref="D3:AN3"/>
    <mergeCell ref="U5:AM5"/>
    <mergeCell ref="D7:AM7"/>
    <mergeCell ref="D9:AA9"/>
    <mergeCell ref="AB9:AM9"/>
  </mergeCells>
  <conditionalFormatting sqref="U5">
    <cfRule type="cellIs" dxfId="949" priority="17" operator="equal">
      <formula>"no"</formula>
    </cfRule>
    <cfRule type="cellIs" dxfId="948" priority="18" operator="equal">
      <formula>"yes"</formula>
    </cfRule>
  </conditionalFormatting>
  <conditionalFormatting sqref="C9:AN9 C17:AN19 C23:AN23 C25:AN26 C24 E24 AN24 C11:AN12 C10:E10 AM10:AN10">
    <cfRule type="notContainsBlanks" dxfId="947" priority="16">
      <formula>LEN(TRIM(C9))&gt;0</formula>
    </cfRule>
  </conditionalFormatting>
  <conditionalFormatting sqref="C13:AN16 C20:AN22 C27:AN27 C29:AN30 C28:E28 AM28:AN28">
    <cfRule type="notContainsBlanks" dxfId="946" priority="15">
      <formula>LEN(TRIM(C13))&gt;0</formula>
    </cfRule>
  </conditionalFormatting>
  <conditionalFormatting sqref="E24">
    <cfRule type="cellIs" dxfId="945" priority="14" operator="equal">
      <formula>"TIME LAG MAY EXIST IF NO BLANK FOLDERS AVAILABLE!  MUST WAIT UNTIL THE BMO WHO MANAGES NEXUS FOR C&amp;IS HAS CREATED NEW BLANK FOLDERS TO USE."</formula>
    </cfRule>
  </conditionalFormatting>
  <conditionalFormatting sqref="D24 AM24">
    <cfRule type="cellIs" dxfId="944" priority="13" operator="equal">
      <formula>"."</formula>
    </cfRule>
  </conditionalFormatting>
  <conditionalFormatting sqref="L34:AM34">
    <cfRule type="cellIs" dxfId="943" priority="12" operator="notEqual">
      <formula>"&lt;Add make name here&gt;"</formula>
    </cfRule>
  </conditionalFormatting>
  <conditionalFormatting sqref="L35:AM35">
    <cfRule type="cellIs" dxfId="942" priority="11" operator="notEqual">
      <formula>"&lt;Add model numbers here&gt;"</formula>
    </cfRule>
  </conditionalFormatting>
  <conditionalFormatting sqref="D39:AM39">
    <cfRule type="cellIs" dxfId="941" priority="10" operator="notEqual">
      <formula>"&lt; Add NEXUS document name here that was generated from the Product Appraisal KPI sheet (refer image on right) &gt;"</formula>
    </cfRule>
  </conditionalFormatting>
  <conditionalFormatting sqref="L37:AM37">
    <cfRule type="cellIs" dxfId="940" priority="8" stopIfTrue="1" operator="equal">
      <formula>"Click here!  Open the 'Approval Number Issue Log' tab.  Find and record the AN-??? approval number here!"</formula>
    </cfRule>
    <cfRule type="cellIs" dxfId="939" priority="9" operator="equal">
      <formula>"Click here!  Open the 'Approval Number Issue Log' tab.  Find and record the AN-??? approval number here!"</formula>
    </cfRule>
  </conditionalFormatting>
  <conditionalFormatting sqref="E10:AL10">
    <cfRule type="cellIs" dxfId="938" priority="6" operator="equal">
      <formula>"USE THIS NEW CUSTOMER INDEX ENTRY TO NOW SAVE THE APPLICATION E-MAIL AND THE E-FORM ONTO THE EXISTING NEXUS FOLDER."</formula>
    </cfRule>
    <cfRule type="cellIs" dxfId="937" priority="7" operator="equal">
      <formula>"USE THIS NEW CUSTOMER INDEX ENTRY TO NOW SAVE THE APPLICATION E-MAIL AND THE E-FORM ONTO YOUR PERSONAL NEXUS FOLDER UNTIL A NEW NEXUS FOLDER HAS BEEN CREATED LATER."</formula>
    </cfRule>
  </conditionalFormatting>
  <conditionalFormatting sqref="D10">
    <cfRule type="cellIs" dxfId="936" priority="5" operator="equal">
      <formula>"."</formula>
    </cfRule>
  </conditionalFormatting>
  <conditionalFormatting sqref="AM10">
    <cfRule type="cellIs" dxfId="935" priority="4" operator="equal">
      <formula>"."</formula>
    </cfRule>
  </conditionalFormatting>
  <conditionalFormatting sqref="E28:AL28">
    <cfRule type="cellIs" dxfId="934" priority="3" operator="equal">
      <formula>"MOVE THE PREVIOUSLY SAVED APPLICATION E-MAIL AND E-FROM FROM YOUR PERSONAL AQUA FILE INTO THIS NEW AQUA FILE."</formula>
    </cfRule>
  </conditionalFormatting>
  <conditionalFormatting sqref="AM28">
    <cfRule type="cellIs" dxfId="933" priority="2" operator="equal">
      <formula>"."</formula>
    </cfRule>
  </conditionalFormatting>
  <conditionalFormatting sqref="D28">
    <cfRule type="cellIs" dxfId="932" priority="1" operator="equal">
      <formula>"."</formula>
    </cfRule>
  </conditionalFormatting>
  <hyperlinks>
    <hyperlink ref="AB23:AM23" r:id="rId1" display="https://nexus.watercorporation.com.au/otcs/cs.exe/app/nodes/59816633" xr:uid="{00000000-0004-0000-0200-000000000000}"/>
    <hyperlink ref="AB20:AM20" r:id="rId2" display="https://nexus.watercorporation.com.au/otcs/cs.exe/app/nodes/58979569" xr:uid="{00000000-0004-0000-0200-000001000000}"/>
    <hyperlink ref="AB17:AM17" r:id="rId3" display="https://nexus.watercorporation.com.au/otcs/cs.exe/app/nodes/58979569" xr:uid="{00000000-0004-0000-0200-000002000000}"/>
    <hyperlink ref="AB9:AM9" r:id="rId4" display="https://nexus.watercorporation.com.au/otcs/cs.exe/app/nodes/58941674" xr:uid="{00000000-0004-0000-0200-000003000000}"/>
    <hyperlink ref="AB13:AM13" r:id="rId5" display="https://nexus.watercorporation.com.au/otcs/cs.exe/app/nodes/62023096" xr:uid="{00000000-0004-0000-0200-000004000000}"/>
    <hyperlink ref="L37:AM37" r:id="rId6" display="https://nexus.watercorporation.com.au/otcs/cs.exe/app/nodes/58979569" xr:uid="{00000000-0004-0000-0200-000005000000}"/>
  </hyperlinks>
  <pageMargins left="0.7" right="0.7" top="0.75" bottom="0.75" header="0.3" footer="0.3"/>
  <pageSetup paperSize="9" scale="50" orientation="portrait" r:id="rId7"/>
  <drawing r:id="rId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'(admin) Drop Down Variables'!$D$10:$D$16</xm:f>
          </x14:formula1>
          <xm:sqref>U5:AM5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outlinePr summaryBelow="0"/>
    <pageSetUpPr fitToPage="1"/>
  </sheetPr>
  <dimension ref="B4:BL76"/>
  <sheetViews>
    <sheetView view="pageBreakPreview" zoomScaleNormal="115" zoomScaleSheetLayoutView="100" zoomScalePageLayoutView="115" workbookViewId="0">
      <selection activeCell="B53" activeCellId="1" sqref="A34:AK60 B52:BM69"/>
    </sheetView>
  </sheetViews>
  <sheetFormatPr defaultColWidth="3.7109375" defaultRowHeight="15"/>
  <cols>
    <col min="1" max="3" width="3.140625" style="15" customWidth="1"/>
    <col min="4" max="15" width="3.7109375" style="15"/>
    <col min="16" max="21" width="4.28515625" style="15" customWidth="1"/>
    <col min="22" max="30" width="3.7109375" style="15"/>
    <col min="31" max="31" width="10.28515625" style="15" customWidth="1"/>
    <col min="32" max="41" width="0" style="15" hidden="1" customWidth="1"/>
    <col min="42" max="42" width="3.7109375" style="15" hidden="1" customWidth="1"/>
    <col min="43" max="58" width="0" style="15" hidden="1" customWidth="1"/>
    <col min="59" max="16384" width="3.7109375" style="15"/>
  </cols>
  <sheetData>
    <row r="4" spans="2:64" ht="15" customHeight="1">
      <c r="B4" s="497" t="s">
        <v>94</v>
      </c>
      <c r="C4" s="678"/>
      <c r="D4" s="678"/>
      <c r="E4" s="678"/>
      <c r="F4" s="678"/>
      <c r="G4" s="678"/>
      <c r="H4" s="678"/>
      <c r="I4" s="678"/>
      <c r="J4" s="678"/>
      <c r="K4" s="678"/>
      <c r="L4" s="678"/>
      <c r="M4" s="678"/>
      <c r="N4" s="678"/>
      <c r="O4" s="678"/>
      <c r="P4" s="503" t="s">
        <v>95</v>
      </c>
      <c r="Q4" s="503"/>
      <c r="R4" s="503"/>
      <c r="S4" s="503"/>
      <c r="T4" s="503"/>
      <c r="U4" s="503"/>
      <c r="V4" s="503"/>
      <c r="W4" s="503"/>
      <c r="X4" s="503"/>
      <c r="Y4" s="503"/>
      <c r="Z4" s="503"/>
      <c r="AA4" s="503"/>
      <c r="AB4" s="503"/>
      <c r="AC4" s="689"/>
      <c r="AD4" s="689"/>
    </row>
    <row r="5" spans="2:64" ht="15" customHeight="1">
      <c r="B5" s="497" t="s">
        <v>96</v>
      </c>
      <c r="C5" s="678"/>
      <c r="D5" s="678"/>
      <c r="E5" s="678"/>
      <c r="F5" s="678"/>
      <c r="G5" s="678"/>
      <c r="H5" s="678"/>
      <c r="I5" s="678"/>
      <c r="J5" s="678"/>
      <c r="K5" s="678"/>
      <c r="L5" s="678"/>
      <c r="M5" s="678"/>
      <c r="N5" s="678"/>
      <c r="O5" s="678"/>
      <c r="P5" s="505" t="s">
        <v>97</v>
      </c>
      <c r="Q5" s="506"/>
      <c r="R5" s="506"/>
      <c r="S5" s="506"/>
      <c r="T5" s="506"/>
      <c r="U5" s="506"/>
      <c r="V5" s="506"/>
      <c r="W5" s="506"/>
      <c r="X5" s="506"/>
      <c r="Y5" s="506"/>
      <c r="Z5" s="506"/>
      <c r="AA5" s="506"/>
      <c r="AB5" s="506"/>
      <c r="AC5" s="100"/>
      <c r="AD5" s="100"/>
    </row>
    <row r="7" spans="2:64" ht="33.75" hidden="1" customHeight="1">
      <c r="D7" s="507" t="s">
        <v>98</v>
      </c>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
      <c r="AG7" s="50"/>
      <c r="AH7" s="50"/>
      <c r="AI7" s="50"/>
      <c r="AJ7" s="50"/>
    </row>
    <row r="8" spans="2:64" hidden="1">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50"/>
      <c r="AG8" s="50"/>
      <c r="AH8" s="50"/>
      <c r="AI8" s="50"/>
      <c r="AJ8" s="50"/>
    </row>
    <row r="9" spans="2:64" ht="9" customHeight="1">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50"/>
      <c r="AG9" s="50"/>
      <c r="AH9" s="50"/>
      <c r="AI9" s="50"/>
      <c r="AJ9" s="98"/>
    </row>
    <row r="10" spans="2:64" ht="15.6">
      <c r="D10" s="690" t="s">
        <v>99</v>
      </c>
      <c r="E10" s="678"/>
      <c r="F10" s="678"/>
      <c r="G10" s="678"/>
      <c r="H10" s="678"/>
      <c r="I10" s="678"/>
      <c r="J10" s="678"/>
      <c r="K10" s="678"/>
      <c r="L10" s="678"/>
      <c r="M10" s="678"/>
      <c r="N10" s="678"/>
      <c r="O10" s="678"/>
      <c r="P10" s="678"/>
      <c r="Q10" s="678"/>
      <c r="R10" s="678"/>
      <c r="S10" s="678"/>
      <c r="T10" s="678"/>
      <c r="U10" s="691" t="s">
        <v>100</v>
      </c>
      <c r="V10" s="678"/>
      <c r="W10" s="678"/>
      <c r="X10" s="678"/>
      <c r="Y10" s="678"/>
      <c r="Z10" s="678"/>
      <c r="AA10" s="678"/>
      <c r="AB10" s="678"/>
      <c r="AC10" s="678"/>
      <c r="AD10" s="678"/>
      <c r="AE10" s="678"/>
      <c r="AF10" s="50"/>
      <c r="AG10" s="50"/>
      <c r="AH10" s="50"/>
      <c r="AI10" s="50"/>
      <c r="AJ10" s="98"/>
    </row>
    <row r="11" spans="2:64" ht="8.25" customHeight="1">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504" t="s">
        <v>101</v>
      </c>
      <c r="AG11" s="504"/>
      <c r="AH11" s="504"/>
      <c r="AI11" s="504"/>
      <c r="AJ11" s="504"/>
    </row>
    <row r="12" spans="2:64" ht="16.5" customHeight="1">
      <c r="D12" s="501" t="str">
        <f>IF(AND(U10='(admin) Drop Down Variables'!D19,'3. Registration'!U5&lt;&gt;'(admin) Drop Down Variables'!D11),"MUST also obtain and report all FOGMan GA failure issues for this product seen in the field.","")</f>
        <v/>
      </c>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4"/>
      <c r="AG12" s="504"/>
      <c r="AH12" s="504"/>
      <c r="AI12" s="504"/>
      <c r="AJ12" s="504"/>
    </row>
    <row r="13" spans="2:64" ht="10.5" customHeight="1">
      <c r="AF13" s="504"/>
      <c r="AG13" s="504"/>
      <c r="AH13" s="504"/>
      <c r="AI13" s="504"/>
      <c r="AJ13" s="504"/>
    </row>
    <row r="14" spans="2:64" ht="18" customHeight="1">
      <c r="D14" s="99"/>
      <c r="E14" s="519" t="str">
        <f>IF('3. Registration'!$U$5='(admin) Drop Down Variables'!D12,
    "&lt;add TL-Inv or SO-FI (Investigations)&gt;",
    IF('3. Registration'!U5="&lt; SELECT HERE! &gt;",
        "&lt;add relevant review person here&gt;",
        IF('3. Registration'!U5&lt;&gt;'(admin) Drop Down Variables'!D11,
            '(admin) Drop Down Variables'!D28,
            "&lt;add relevant review person here&gt;")))</f>
        <v>&lt;add relevant review person here&gt;</v>
      </c>
      <c r="F14" s="525"/>
      <c r="G14" s="525"/>
      <c r="H14" s="525"/>
      <c r="I14" s="525"/>
      <c r="J14" s="525"/>
      <c r="K14" s="525"/>
      <c r="L14" s="525"/>
      <c r="M14" s="525"/>
      <c r="N14" s="525"/>
      <c r="O14" s="525"/>
      <c r="P14" s="519" t="str" cm="1">
        <f t="array" ref="P14">IF(OR(E14='(admin) Drop Down Variables'!D41,'4. Panel Member Index'!E14:O14='(admin) Drop Down Variables'!D40),
    "(comprehensive review)",
        IF(E14='(admin) Drop Down Variables'!D28,
            "(Regional review)",
            "(pick skill set)"))</f>
        <v>(pick skill set)</v>
      </c>
      <c r="Q14" s="525"/>
      <c r="R14" s="525"/>
      <c r="S14" s="525"/>
      <c r="T14" s="525"/>
      <c r="U14" s="525"/>
      <c r="V14" s="520" t="s">
        <v>102</v>
      </c>
      <c r="W14" s="521"/>
      <c r="X14" s="521"/>
      <c r="Y14" s="521"/>
      <c r="Z14" s="521"/>
      <c r="AA14" s="521"/>
      <c r="AB14" s="692" t="str">
        <f ca="1">IF(P14="(comprehensive review)",
    TEXT(WORKDAY(TODAY(),10),"dd mmm yyyy"),
        IF(E14='(admin) Drop Down Variables'!D28,
            TEXT(WORKDAY(TODAY(),10),"dd mmm yyyy"),
            TEXT(WORKDAY(TODAY(),5),"dd mmm yyyy")))</f>
        <v>29 Jul 2024</v>
      </c>
      <c r="AC14" s="693"/>
      <c r="AD14" s="693"/>
      <c r="AE14" s="693"/>
      <c r="AF14" s="694"/>
      <c r="AG14" s="695"/>
      <c r="AH14" s="695"/>
      <c r="AI14" s="695"/>
      <c r="AJ14" s="695"/>
      <c r="BL14" s="329"/>
    </row>
    <row r="15" spans="2:64" ht="18" customHeight="1">
      <c r="D15" s="99"/>
      <c r="E15" s="519" t="s">
        <v>103</v>
      </c>
      <c r="F15" s="519"/>
      <c r="G15" s="519"/>
      <c r="H15" s="519"/>
      <c r="I15" s="519"/>
      <c r="J15" s="519"/>
      <c r="K15" s="519"/>
      <c r="L15" s="519"/>
      <c r="M15" s="519"/>
      <c r="N15" s="519"/>
      <c r="O15" s="519"/>
      <c r="P15" s="519" t="s">
        <v>104</v>
      </c>
      <c r="Q15" s="519"/>
      <c r="R15" s="519"/>
      <c r="S15" s="519"/>
      <c r="T15" s="519"/>
      <c r="U15" s="519"/>
      <c r="V15" s="520" t="str">
        <f>IF('3. Registration'!$U$5='(admin) Drop Down Variables'!D12,"Panel Review only","Please complete by:")</f>
        <v>Please complete by:</v>
      </c>
      <c r="W15" s="521"/>
      <c r="X15" s="521"/>
      <c r="Y15" s="521"/>
      <c r="Z15" s="521"/>
      <c r="AA15" s="521"/>
      <c r="AB15" s="692" t="str">
        <f ca="1">IF('3. Registration'!$U$5='(admin) Drop Down Variables'!D12,
    "",
    IF(E14='(admin) Drop Down Variables'!D28,
        TEXT(WORKDAY(TODAY(),15),"dd mmm yyyy"),
        TEXT(WORKDAY(TODAY(),10),"dd mmm yyyy")))</f>
        <v>05 Aug 2024</v>
      </c>
      <c r="AC15" s="678"/>
      <c r="AD15" s="678"/>
      <c r="AE15" s="678"/>
      <c r="AF15" s="696"/>
      <c r="AG15" s="697"/>
      <c r="AH15" s="697"/>
      <c r="AI15" s="697"/>
      <c r="AJ15" s="697"/>
    </row>
    <row r="16" spans="2:64" ht="18" customHeight="1">
      <c r="D16" s="99"/>
      <c r="E16" s="519" t="s">
        <v>103</v>
      </c>
      <c r="F16" s="519"/>
      <c r="G16" s="519"/>
      <c r="H16" s="519"/>
      <c r="I16" s="519"/>
      <c r="J16" s="519"/>
      <c r="K16" s="519"/>
      <c r="L16" s="519"/>
      <c r="M16" s="519"/>
      <c r="N16" s="519"/>
      <c r="O16" s="519"/>
      <c r="P16" s="519" t="s">
        <v>104</v>
      </c>
      <c r="Q16" s="519"/>
      <c r="R16" s="519"/>
      <c r="S16" s="519"/>
      <c r="T16" s="519"/>
      <c r="U16" s="519"/>
      <c r="V16" s="520" t="str">
        <f>IF('3. Registration'!$U$5='(admin) Drop Down Variables'!D12,"Panel Review only","Please complete by:")</f>
        <v>Please complete by:</v>
      </c>
      <c r="W16" s="521"/>
      <c r="X16" s="521"/>
      <c r="Y16" s="521"/>
      <c r="Z16" s="521"/>
      <c r="AA16" s="521"/>
      <c r="AB16" s="692" t="str">
        <f ca="1">IF('3. Registration'!$U$5='(admin) Drop Down Variables'!D12,
    "",
    IF(E14='(admin) Drop Down Variables'!D28,
        TEXT(WORKDAY(TODAY(),20),"dd mmm yyyy"),
        TEXT(WORKDAY(TODAY(),15),"dd mmm yyyy")))</f>
        <v>12 Aug 2024</v>
      </c>
      <c r="AC16" s="678"/>
      <c r="AD16" s="678"/>
      <c r="AE16" s="678"/>
      <c r="AF16" s="694"/>
      <c r="AG16" s="695"/>
      <c r="AH16" s="695"/>
      <c r="AI16" s="695"/>
      <c r="AJ16" s="695"/>
    </row>
    <row r="17" spans="4:42" ht="18" customHeight="1">
      <c r="D17" s="99"/>
      <c r="E17" s="519" t="str">
        <f>IF('3. Registration'!$U$5='(admin) Drop Down Variables'!D12,"","&lt;add relevant review person here&gt;")</f>
        <v>&lt;add relevant review person here&gt;</v>
      </c>
      <c r="F17" s="519"/>
      <c r="G17" s="519"/>
      <c r="H17" s="519"/>
      <c r="I17" s="519"/>
      <c r="J17" s="519"/>
      <c r="K17" s="519"/>
      <c r="L17" s="519"/>
      <c r="M17" s="519"/>
      <c r="N17" s="519"/>
      <c r="O17" s="519"/>
      <c r="P17" s="519" t="str">
        <f>IF('3. Registration'!$U$5='(admin) Drop Down Variables'!D12,"","(pick skill set)")</f>
        <v>(pick skill set)</v>
      </c>
      <c r="Q17" s="519"/>
      <c r="R17" s="519"/>
      <c r="S17" s="519"/>
      <c r="T17" s="519"/>
      <c r="U17" s="519"/>
      <c r="V17" s="520" t="str">
        <f>IF('3. Registration'!$U$5='(admin) Drop Down Variables'!D12,"","Please complete by:")</f>
        <v>Please complete by:</v>
      </c>
      <c r="W17" s="521"/>
      <c r="X17" s="521"/>
      <c r="Y17" s="521"/>
      <c r="Z17" s="521"/>
      <c r="AA17" s="521"/>
      <c r="AB17" s="692" t="str">
        <f ca="1">IF('3. Registration'!$U$5='(admin) Drop Down Variables'!D12,
    "",
    IF(E14='(admin) Drop Down Variables'!D28,
        TEXT(WORKDAY(TODAY(),25),"dd mmm yyyy"),
        TEXT(WORKDAY(TODAY(),20),"dd mmm yyyy")))</f>
        <v>19 Aug 2024</v>
      </c>
      <c r="AC17" s="678"/>
      <c r="AD17" s="678"/>
      <c r="AE17" s="678"/>
      <c r="AF17" s="694"/>
      <c r="AG17" s="695"/>
      <c r="AH17" s="695"/>
      <c r="AI17" s="695"/>
      <c r="AJ17" s="695"/>
    </row>
    <row r="18" spans="4:42" ht="18" customHeight="1">
      <c r="D18" s="99"/>
      <c r="E18" s="519" t="str">
        <f>IF('3. Registration'!$U$5='(admin) Drop Down Variables'!D12,"","&lt;add relevant review person here&gt;")</f>
        <v>&lt;add relevant review person here&gt;</v>
      </c>
      <c r="F18" s="519"/>
      <c r="G18" s="519"/>
      <c r="H18" s="519"/>
      <c r="I18" s="519"/>
      <c r="J18" s="519"/>
      <c r="K18" s="519"/>
      <c r="L18" s="519"/>
      <c r="M18" s="519"/>
      <c r="N18" s="519"/>
      <c r="O18" s="519"/>
      <c r="P18" s="519" t="str">
        <f>IF('3. Registration'!$U$5='(admin) Drop Down Variables'!D12,"","(pick skill set)")</f>
        <v>(pick skill set)</v>
      </c>
      <c r="Q18" s="519"/>
      <c r="R18" s="519"/>
      <c r="S18" s="519"/>
      <c r="T18" s="519"/>
      <c r="U18" s="519"/>
      <c r="V18" s="520" t="str">
        <f>IF('3. Registration'!$U$5='(admin) Drop Down Variables'!D12,"","Please complete by:")</f>
        <v>Please complete by:</v>
      </c>
      <c r="W18" s="521"/>
      <c r="X18" s="521"/>
      <c r="Y18" s="521"/>
      <c r="Z18" s="521"/>
      <c r="AA18" s="521"/>
      <c r="AB18" s="692" t="str">
        <f ca="1">IF('3. Registration'!$U$5='(admin) Drop Down Variables'!D12,
    "",
    IF(E14='(admin) Drop Down Variables'!D28,
        TEXT(WORKDAY(TODAY(),30),"dd mmm yyyy"),
        TEXT(WORKDAY(TODAY(),25),"dd mmm yyyy")))</f>
        <v>26 Aug 2024</v>
      </c>
      <c r="AC18" s="678"/>
      <c r="AD18" s="678"/>
      <c r="AE18" s="678"/>
      <c r="AF18" s="694"/>
      <c r="AG18" s="695"/>
      <c r="AH18" s="695"/>
      <c r="AI18" s="695"/>
      <c r="AJ18" s="695"/>
    </row>
    <row r="19" spans="4:42" ht="12.75" customHeight="1"/>
    <row r="20" spans="4:42" ht="18" hidden="1" customHeight="1">
      <c r="D20" s="515" t="s">
        <v>105</v>
      </c>
      <c r="E20" s="516"/>
      <c r="F20" s="516"/>
      <c r="G20" s="516"/>
      <c r="H20" s="516"/>
      <c r="I20" s="516"/>
      <c r="J20" s="516"/>
      <c r="K20" s="516"/>
      <c r="L20" s="516"/>
      <c r="M20" s="214" t="str">
        <f t="shared" ref="M20:M23" si="0">IF(N20="","","l")</f>
        <v>l</v>
      </c>
      <c r="N20" s="509" t="s">
        <v>106</v>
      </c>
      <c r="O20" s="510"/>
      <c r="P20" s="510"/>
      <c r="Q20" s="510"/>
      <c r="R20" s="510"/>
      <c r="S20" s="510"/>
      <c r="T20" s="510"/>
      <c r="U20" s="510"/>
      <c r="V20" s="510"/>
      <c r="W20" s="510"/>
      <c r="X20" s="510"/>
      <c r="Y20" s="510"/>
      <c r="Z20" s="510"/>
      <c r="AA20" s="510"/>
      <c r="AB20" s="510"/>
      <c r="AC20" s="510"/>
      <c r="AD20" s="510"/>
      <c r="AE20" s="510"/>
      <c r="AF20" s="510"/>
      <c r="AG20" s="510"/>
      <c r="AH20" s="510"/>
      <c r="AI20" s="510"/>
      <c r="AJ20" s="511"/>
    </row>
    <row r="21" spans="4:42" ht="18" hidden="1" customHeight="1">
      <c r="D21" s="517"/>
      <c r="E21" s="517"/>
      <c r="F21" s="517"/>
      <c r="G21" s="517"/>
      <c r="H21" s="517"/>
      <c r="I21" s="517"/>
      <c r="J21" s="517"/>
      <c r="K21" s="517"/>
      <c r="L21" s="517"/>
      <c r="M21" s="215" t="str">
        <f t="shared" si="0"/>
        <v>l</v>
      </c>
      <c r="N21" s="498" t="s">
        <v>107</v>
      </c>
      <c r="O21" s="499"/>
      <c r="P21" s="499"/>
      <c r="Q21" s="499"/>
      <c r="R21" s="499"/>
      <c r="S21" s="499"/>
      <c r="T21" s="499"/>
      <c r="U21" s="499"/>
      <c r="V21" s="499"/>
      <c r="W21" s="499"/>
      <c r="X21" s="499"/>
      <c r="Y21" s="499"/>
      <c r="Z21" s="499"/>
      <c r="AA21" s="499"/>
      <c r="AB21" s="499"/>
      <c r="AC21" s="499"/>
      <c r="AD21" s="499"/>
      <c r="AE21" s="499"/>
      <c r="AF21" s="499"/>
      <c r="AG21" s="499"/>
      <c r="AH21" s="499"/>
      <c r="AI21" s="499"/>
      <c r="AJ21" s="500"/>
    </row>
    <row r="22" spans="4:42" ht="18" hidden="1" customHeight="1">
      <c r="D22" s="517"/>
      <c r="E22" s="517"/>
      <c r="F22" s="517"/>
      <c r="G22" s="517"/>
      <c r="H22" s="517"/>
      <c r="I22" s="517"/>
      <c r="J22" s="517"/>
      <c r="K22" s="517"/>
      <c r="L22" s="517"/>
      <c r="M22" s="217" t="str">
        <f t="shared" si="0"/>
        <v>l</v>
      </c>
      <c r="N22" s="522" t="s">
        <v>108</v>
      </c>
      <c r="O22" s="523"/>
      <c r="P22" s="523"/>
      <c r="Q22" s="523"/>
      <c r="R22" s="523"/>
      <c r="S22" s="523"/>
      <c r="T22" s="523"/>
      <c r="U22" s="523"/>
      <c r="V22" s="523"/>
      <c r="W22" s="523"/>
      <c r="X22" s="523"/>
      <c r="Y22" s="523"/>
      <c r="Z22" s="523"/>
      <c r="AA22" s="523"/>
      <c r="AB22" s="523"/>
      <c r="AC22" s="523"/>
      <c r="AD22" s="523"/>
      <c r="AE22" s="523"/>
      <c r="AF22" s="523"/>
      <c r="AG22" s="523"/>
      <c r="AH22" s="523"/>
      <c r="AI22" s="523"/>
      <c r="AJ22" s="524"/>
    </row>
    <row r="23" spans="4:42" ht="18" hidden="1" customHeight="1">
      <c r="D23" s="517"/>
      <c r="E23" s="517"/>
      <c r="F23" s="517"/>
      <c r="G23" s="517"/>
      <c r="H23" s="517"/>
      <c r="I23" s="517"/>
      <c r="J23" s="517"/>
      <c r="K23" s="517"/>
      <c r="L23" s="517"/>
      <c r="M23" s="217" t="str">
        <f t="shared" si="0"/>
        <v>l</v>
      </c>
      <c r="N23" s="522" t="s">
        <v>109</v>
      </c>
      <c r="O23" s="523"/>
      <c r="P23" s="523"/>
      <c r="Q23" s="523"/>
      <c r="R23" s="523"/>
      <c r="S23" s="523"/>
      <c r="T23" s="523"/>
      <c r="U23" s="523"/>
      <c r="V23" s="523"/>
      <c r="W23" s="523"/>
      <c r="X23" s="523"/>
      <c r="Y23" s="523"/>
      <c r="Z23" s="523"/>
      <c r="AA23" s="523"/>
      <c r="AB23" s="523"/>
      <c r="AC23" s="523"/>
      <c r="AD23" s="523"/>
      <c r="AE23" s="523"/>
      <c r="AF23" s="523"/>
      <c r="AG23" s="523"/>
      <c r="AH23" s="523"/>
      <c r="AI23" s="523"/>
      <c r="AJ23" s="524"/>
    </row>
    <row r="24" spans="4:42" ht="18" hidden="1" customHeight="1">
      <c r="D24" s="517"/>
      <c r="E24" s="517"/>
      <c r="F24" s="517"/>
      <c r="G24" s="517"/>
      <c r="H24" s="517"/>
      <c r="I24" s="517"/>
      <c r="J24" s="517"/>
      <c r="K24" s="517"/>
      <c r="L24" s="517"/>
      <c r="M24" s="217" t="str">
        <f>IF(N24="","","l")</f>
        <v>l</v>
      </c>
      <c r="N24" s="522" t="s">
        <v>110</v>
      </c>
      <c r="O24" s="523"/>
      <c r="P24" s="523"/>
      <c r="Q24" s="523"/>
      <c r="R24" s="523"/>
      <c r="S24" s="523"/>
      <c r="T24" s="523"/>
      <c r="U24" s="523"/>
      <c r="V24" s="523"/>
      <c r="W24" s="523"/>
      <c r="X24" s="523"/>
      <c r="Y24" s="523"/>
      <c r="Z24" s="523"/>
      <c r="AA24" s="523"/>
      <c r="AB24" s="523"/>
      <c r="AC24" s="523"/>
      <c r="AD24" s="523"/>
      <c r="AE24" s="523"/>
      <c r="AF24" s="523"/>
      <c r="AG24" s="523"/>
      <c r="AH24" s="523"/>
      <c r="AI24" s="523"/>
      <c r="AJ24" s="524"/>
    </row>
    <row r="25" spans="4:42" ht="18" hidden="1" customHeight="1">
      <c r="D25" s="517"/>
      <c r="E25" s="517"/>
      <c r="F25" s="517"/>
      <c r="G25" s="517"/>
      <c r="H25" s="517"/>
      <c r="I25" s="517"/>
      <c r="J25" s="517"/>
      <c r="K25" s="517"/>
      <c r="L25" s="517"/>
      <c r="M25" s="215" t="str">
        <f t="shared" ref="M25:M34" si="1">IF(N25="","","l")</f>
        <v/>
      </c>
      <c r="N25" s="498"/>
      <c r="O25" s="499"/>
      <c r="P25" s="499"/>
      <c r="Q25" s="499"/>
      <c r="R25" s="499"/>
      <c r="S25" s="499"/>
      <c r="T25" s="499"/>
      <c r="U25" s="499"/>
      <c r="V25" s="499"/>
      <c r="W25" s="499"/>
      <c r="X25" s="499"/>
      <c r="Y25" s="499"/>
      <c r="Z25" s="499"/>
      <c r="AA25" s="499"/>
      <c r="AB25" s="499"/>
      <c r="AC25" s="499"/>
      <c r="AD25" s="499"/>
      <c r="AE25" s="499"/>
      <c r="AF25" s="499"/>
      <c r="AG25" s="499"/>
      <c r="AH25" s="499"/>
      <c r="AI25" s="499"/>
      <c r="AJ25" s="500"/>
    </row>
    <row r="26" spans="4:42" ht="18" hidden="1" customHeight="1">
      <c r="D26" s="517"/>
      <c r="E26" s="517"/>
      <c r="F26" s="517"/>
      <c r="G26" s="517"/>
      <c r="H26" s="517"/>
      <c r="I26" s="517"/>
      <c r="J26" s="517"/>
      <c r="K26" s="517"/>
      <c r="L26" s="517"/>
      <c r="M26" s="215" t="str">
        <f t="shared" si="1"/>
        <v/>
      </c>
      <c r="N26" s="498"/>
      <c r="O26" s="499"/>
      <c r="P26" s="499"/>
      <c r="Q26" s="499"/>
      <c r="R26" s="499"/>
      <c r="S26" s="499"/>
      <c r="T26" s="499"/>
      <c r="U26" s="499"/>
      <c r="V26" s="499"/>
      <c r="W26" s="499"/>
      <c r="X26" s="499"/>
      <c r="Y26" s="499"/>
      <c r="Z26" s="499"/>
      <c r="AA26" s="499"/>
      <c r="AB26" s="499"/>
      <c r="AC26" s="499"/>
      <c r="AD26" s="499"/>
      <c r="AE26" s="499"/>
      <c r="AF26" s="499"/>
      <c r="AG26" s="499"/>
      <c r="AH26" s="499"/>
      <c r="AI26" s="499"/>
      <c r="AJ26" s="500"/>
      <c r="AP26" s="101"/>
    </row>
    <row r="27" spans="4:42" ht="18" hidden="1" customHeight="1">
      <c r="D27" s="517"/>
      <c r="E27" s="517"/>
      <c r="F27" s="517"/>
      <c r="G27" s="517"/>
      <c r="H27" s="517"/>
      <c r="I27" s="517"/>
      <c r="J27" s="517"/>
      <c r="K27" s="517"/>
      <c r="L27" s="517"/>
      <c r="M27" s="215" t="str">
        <f t="shared" si="1"/>
        <v/>
      </c>
      <c r="N27" s="498"/>
      <c r="O27" s="499"/>
      <c r="P27" s="499"/>
      <c r="Q27" s="499"/>
      <c r="R27" s="499"/>
      <c r="S27" s="499"/>
      <c r="T27" s="499"/>
      <c r="U27" s="499"/>
      <c r="V27" s="499"/>
      <c r="W27" s="499"/>
      <c r="X27" s="499"/>
      <c r="Y27" s="499"/>
      <c r="Z27" s="499"/>
      <c r="AA27" s="499"/>
      <c r="AB27" s="499"/>
      <c r="AC27" s="499"/>
      <c r="AD27" s="499"/>
      <c r="AE27" s="499"/>
      <c r="AF27" s="499"/>
      <c r="AG27" s="499"/>
      <c r="AH27" s="499"/>
      <c r="AI27" s="499"/>
      <c r="AJ27" s="500"/>
    </row>
    <row r="28" spans="4:42" ht="18" hidden="1" customHeight="1">
      <c r="D28" s="517"/>
      <c r="E28" s="517"/>
      <c r="F28" s="517"/>
      <c r="G28" s="517"/>
      <c r="H28" s="517"/>
      <c r="I28" s="517"/>
      <c r="J28" s="517"/>
      <c r="K28" s="517"/>
      <c r="L28" s="517"/>
      <c r="M28" s="215" t="str">
        <f t="shared" si="1"/>
        <v/>
      </c>
      <c r="N28" s="498"/>
      <c r="O28" s="499"/>
      <c r="P28" s="499"/>
      <c r="Q28" s="499"/>
      <c r="R28" s="499"/>
      <c r="S28" s="499"/>
      <c r="T28" s="499"/>
      <c r="U28" s="499"/>
      <c r="V28" s="499"/>
      <c r="W28" s="499"/>
      <c r="X28" s="499"/>
      <c r="Y28" s="499"/>
      <c r="Z28" s="499"/>
      <c r="AA28" s="499"/>
      <c r="AB28" s="499"/>
      <c r="AC28" s="499"/>
      <c r="AD28" s="499"/>
      <c r="AE28" s="499"/>
      <c r="AF28" s="499"/>
      <c r="AG28" s="499"/>
      <c r="AH28" s="499"/>
      <c r="AI28" s="499"/>
      <c r="AJ28" s="500"/>
    </row>
    <row r="29" spans="4:42" ht="18" hidden="1" customHeight="1">
      <c r="D29" s="517"/>
      <c r="E29" s="517"/>
      <c r="F29" s="517"/>
      <c r="G29" s="517"/>
      <c r="H29" s="517"/>
      <c r="I29" s="517"/>
      <c r="J29" s="517"/>
      <c r="K29" s="517"/>
      <c r="L29" s="517"/>
      <c r="M29" s="215" t="str">
        <f t="shared" si="1"/>
        <v/>
      </c>
      <c r="N29" s="498"/>
      <c r="O29" s="499"/>
      <c r="P29" s="499"/>
      <c r="Q29" s="499"/>
      <c r="R29" s="499"/>
      <c r="S29" s="499"/>
      <c r="T29" s="499"/>
      <c r="U29" s="499"/>
      <c r="V29" s="499"/>
      <c r="W29" s="499"/>
      <c r="X29" s="499"/>
      <c r="Y29" s="499"/>
      <c r="Z29" s="499"/>
      <c r="AA29" s="499"/>
      <c r="AB29" s="499"/>
      <c r="AC29" s="499"/>
      <c r="AD29" s="499"/>
      <c r="AE29" s="499"/>
      <c r="AF29" s="499"/>
      <c r="AG29" s="499"/>
      <c r="AH29" s="499"/>
      <c r="AI29" s="499"/>
      <c r="AJ29" s="500"/>
    </row>
    <row r="30" spans="4:42" ht="18" hidden="1" customHeight="1">
      <c r="D30" s="517"/>
      <c r="E30" s="517"/>
      <c r="F30" s="517"/>
      <c r="G30" s="517"/>
      <c r="H30" s="517"/>
      <c r="I30" s="517"/>
      <c r="J30" s="517"/>
      <c r="K30" s="517"/>
      <c r="L30" s="517"/>
      <c r="M30" s="215" t="str">
        <f t="shared" si="1"/>
        <v/>
      </c>
      <c r="N30" s="512"/>
      <c r="O30" s="513"/>
      <c r="P30" s="513"/>
      <c r="Q30" s="513"/>
      <c r="R30" s="513"/>
      <c r="S30" s="513"/>
      <c r="T30" s="513"/>
      <c r="U30" s="513"/>
      <c r="V30" s="513"/>
      <c r="W30" s="513"/>
      <c r="X30" s="513"/>
      <c r="Y30" s="513"/>
      <c r="Z30" s="513"/>
      <c r="AA30" s="513"/>
      <c r="AB30" s="513"/>
      <c r="AC30" s="513"/>
      <c r="AD30" s="513"/>
      <c r="AE30" s="513"/>
      <c r="AF30" s="513"/>
      <c r="AG30" s="513"/>
      <c r="AH30" s="513"/>
      <c r="AI30" s="513"/>
      <c r="AJ30" s="514"/>
    </row>
    <row r="31" spans="4:42" ht="18" hidden="1" customHeight="1">
      <c r="D31" s="515" t="s">
        <v>111</v>
      </c>
      <c r="E31" s="516"/>
      <c r="F31" s="516"/>
      <c r="G31" s="516"/>
      <c r="H31" s="516"/>
      <c r="I31" s="516"/>
      <c r="J31" s="516"/>
      <c r="K31" s="516"/>
      <c r="L31" s="516"/>
      <c r="M31" s="214" t="str">
        <f t="shared" si="1"/>
        <v>l</v>
      </c>
      <c r="N31" s="509" t="s">
        <v>112</v>
      </c>
      <c r="O31" s="510"/>
      <c r="P31" s="510"/>
      <c r="Q31" s="510"/>
      <c r="R31" s="510"/>
      <c r="S31" s="510"/>
      <c r="T31" s="510"/>
      <c r="U31" s="510"/>
      <c r="V31" s="510"/>
      <c r="W31" s="510"/>
      <c r="X31" s="510"/>
      <c r="Y31" s="510"/>
      <c r="Z31" s="510"/>
      <c r="AA31" s="510"/>
      <c r="AB31" s="510"/>
      <c r="AC31" s="510"/>
      <c r="AD31" s="510"/>
      <c r="AE31" s="510"/>
      <c r="AF31" s="510"/>
      <c r="AG31" s="510"/>
      <c r="AH31" s="510"/>
      <c r="AI31" s="510"/>
      <c r="AJ31" s="511"/>
    </row>
    <row r="32" spans="4:42" ht="18" hidden="1" customHeight="1">
      <c r="D32" s="517"/>
      <c r="E32" s="517"/>
      <c r="F32" s="517"/>
      <c r="G32" s="517"/>
      <c r="H32" s="517"/>
      <c r="I32" s="517"/>
      <c r="J32" s="517"/>
      <c r="K32" s="517"/>
      <c r="L32" s="517"/>
      <c r="M32" s="215" t="str">
        <f t="shared" si="1"/>
        <v>l</v>
      </c>
      <c r="N32" s="498" t="s">
        <v>113</v>
      </c>
      <c r="O32" s="499"/>
      <c r="P32" s="499"/>
      <c r="Q32" s="499"/>
      <c r="R32" s="499"/>
      <c r="S32" s="499"/>
      <c r="T32" s="499"/>
      <c r="U32" s="499"/>
      <c r="V32" s="499"/>
      <c r="W32" s="499"/>
      <c r="X32" s="499"/>
      <c r="Y32" s="499"/>
      <c r="Z32" s="499"/>
      <c r="AA32" s="499"/>
      <c r="AB32" s="499"/>
      <c r="AC32" s="499"/>
      <c r="AD32" s="499"/>
      <c r="AE32" s="499"/>
      <c r="AF32" s="499"/>
      <c r="AG32" s="499"/>
      <c r="AH32" s="499"/>
      <c r="AI32" s="499"/>
      <c r="AJ32" s="500"/>
    </row>
    <row r="33" spans="4:36" ht="18" hidden="1" customHeight="1">
      <c r="D33" s="517"/>
      <c r="E33" s="517"/>
      <c r="F33" s="517"/>
      <c r="G33" s="517"/>
      <c r="H33" s="517"/>
      <c r="I33" s="517"/>
      <c r="J33" s="517"/>
      <c r="K33" s="517"/>
      <c r="L33" s="517"/>
      <c r="M33" s="215" t="str">
        <f t="shared" si="1"/>
        <v>l</v>
      </c>
      <c r="N33" s="498" t="s">
        <v>114</v>
      </c>
      <c r="O33" s="499"/>
      <c r="P33" s="499"/>
      <c r="Q33" s="499"/>
      <c r="R33" s="499"/>
      <c r="S33" s="499"/>
      <c r="T33" s="499"/>
      <c r="U33" s="499"/>
      <c r="V33" s="499"/>
      <c r="W33" s="499"/>
      <c r="X33" s="499"/>
      <c r="Y33" s="499"/>
      <c r="Z33" s="499"/>
      <c r="AA33" s="499"/>
      <c r="AB33" s="499"/>
      <c r="AC33" s="499"/>
      <c r="AD33" s="499"/>
      <c r="AE33" s="499"/>
      <c r="AF33" s="499"/>
      <c r="AG33" s="499"/>
      <c r="AH33" s="499"/>
      <c r="AI33" s="499"/>
      <c r="AJ33" s="500"/>
    </row>
    <row r="34" spans="4:36" ht="18" hidden="1" customHeight="1">
      <c r="D34" s="517"/>
      <c r="E34" s="517"/>
      <c r="F34" s="517"/>
      <c r="G34" s="517"/>
      <c r="H34" s="517"/>
      <c r="I34" s="517"/>
      <c r="J34" s="517"/>
      <c r="K34" s="517"/>
      <c r="L34" s="517"/>
      <c r="M34" s="215" t="str">
        <f t="shared" si="1"/>
        <v/>
      </c>
      <c r="N34" s="498"/>
      <c r="O34" s="499"/>
      <c r="P34" s="499"/>
      <c r="Q34" s="499"/>
      <c r="R34" s="499"/>
      <c r="S34" s="499"/>
      <c r="T34" s="499"/>
      <c r="U34" s="499"/>
      <c r="V34" s="499"/>
      <c r="W34" s="499"/>
      <c r="X34" s="499"/>
      <c r="Y34" s="499"/>
      <c r="Z34" s="499"/>
      <c r="AA34" s="499"/>
      <c r="AB34" s="499"/>
      <c r="AC34" s="499"/>
      <c r="AD34" s="499"/>
      <c r="AE34" s="499"/>
      <c r="AF34" s="499"/>
      <c r="AG34" s="499"/>
      <c r="AH34" s="499"/>
      <c r="AI34" s="499"/>
      <c r="AJ34" s="500"/>
    </row>
    <row r="35" spans="4:36" ht="18" hidden="1" customHeight="1">
      <c r="D35" s="517"/>
      <c r="E35" s="517"/>
      <c r="F35" s="517"/>
      <c r="G35" s="517"/>
      <c r="H35" s="517"/>
      <c r="I35" s="517"/>
      <c r="J35" s="517"/>
      <c r="K35" s="517"/>
      <c r="L35" s="517"/>
      <c r="M35" s="215" t="str">
        <f>IF(N35="","","l")</f>
        <v/>
      </c>
      <c r="N35" s="498"/>
      <c r="O35" s="499"/>
      <c r="P35" s="499"/>
      <c r="Q35" s="499"/>
      <c r="R35" s="499"/>
      <c r="S35" s="499"/>
      <c r="T35" s="499"/>
      <c r="U35" s="499"/>
      <c r="V35" s="499"/>
      <c r="W35" s="499"/>
      <c r="X35" s="499"/>
      <c r="Y35" s="499"/>
      <c r="Z35" s="499"/>
      <c r="AA35" s="499"/>
      <c r="AB35" s="499"/>
      <c r="AC35" s="499"/>
      <c r="AD35" s="499"/>
      <c r="AE35" s="499"/>
      <c r="AF35" s="499"/>
      <c r="AG35" s="499"/>
      <c r="AH35" s="499"/>
      <c r="AI35" s="499"/>
      <c r="AJ35" s="500"/>
    </row>
    <row r="36" spans="4:36" ht="18" hidden="1" customHeight="1">
      <c r="D36" s="517"/>
      <c r="E36" s="517"/>
      <c r="F36" s="517"/>
      <c r="G36" s="517"/>
      <c r="H36" s="517"/>
      <c r="I36" s="517"/>
      <c r="J36" s="517"/>
      <c r="K36" s="517"/>
      <c r="L36" s="517"/>
      <c r="M36" s="215" t="str">
        <f t="shared" ref="M36:M45" si="2">IF(N36="","","l")</f>
        <v/>
      </c>
      <c r="N36" s="498"/>
      <c r="O36" s="499"/>
      <c r="P36" s="499"/>
      <c r="Q36" s="499"/>
      <c r="R36" s="499"/>
      <c r="S36" s="499"/>
      <c r="T36" s="499"/>
      <c r="U36" s="499"/>
      <c r="V36" s="499"/>
      <c r="W36" s="499"/>
      <c r="X36" s="499"/>
      <c r="Y36" s="499"/>
      <c r="Z36" s="499"/>
      <c r="AA36" s="499"/>
      <c r="AB36" s="499"/>
      <c r="AC36" s="499"/>
      <c r="AD36" s="499"/>
      <c r="AE36" s="499"/>
      <c r="AF36" s="499"/>
      <c r="AG36" s="499"/>
      <c r="AH36" s="499"/>
      <c r="AI36" s="499"/>
      <c r="AJ36" s="500"/>
    </row>
    <row r="37" spans="4:36" ht="18" hidden="1" customHeight="1">
      <c r="D37" s="517"/>
      <c r="E37" s="517"/>
      <c r="F37" s="517"/>
      <c r="G37" s="517"/>
      <c r="H37" s="517"/>
      <c r="I37" s="517"/>
      <c r="J37" s="517"/>
      <c r="K37" s="517"/>
      <c r="L37" s="517"/>
      <c r="M37" s="215" t="str">
        <f t="shared" si="2"/>
        <v/>
      </c>
      <c r="N37" s="498"/>
      <c r="O37" s="499"/>
      <c r="P37" s="499"/>
      <c r="Q37" s="499"/>
      <c r="R37" s="499"/>
      <c r="S37" s="499"/>
      <c r="T37" s="499"/>
      <c r="U37" s="499"/>
      <c r="V37" s="499"/>
      <c r="W37" s="499"/>
      <c r="X37" s="499"/>
      <c r="Y37" s="499"/>
      <c r="Z37" s="499"/>
      <c r="AA37" s="499"/>
      <c r="AB37" s="499"/>
      <c r="AC37" s="499"/>
      <c r="AD37" s="499"/>
      <c r="AE37" s="499"/>
      <c r="AF37" s="499"/>
      <c r="AG37" s="499"/>
      <c r="AH37" s="499"/>
      <c r="AI37" s="499"/>
      <c r="AJ37" s="500"/>
    </row>
    <row r="38" spans="4:36" ht="18" hidden="1" customHeight="1">
      <c r="D38" s="517"/>
      <c r="E38" s="517"/>
      <c r="F38" s="517"/>
      <c r="G38" s="517"/>
      <c r="H38" s="517"/>
      <c r="I38" s="517"/>
      <c r="J38" s="517"/>
      <c r="K38" s="517"/>
      <c r="L38" s="517"/>
      <c r="M38" s="215" t="str">
        <f t="shared" si="2"/>
        <v/>
      </c>
      <c r="N38" s="498"/>
      <c r="O38" s="499"/>
      <c r="P38" s="499"/>
      <c r="Q38" s="499"/>
      <c r="R38" s="499"/>
      <c r="S38" s="499"/>
      <c r="T38" s="499"/>
      <c r="U38" s="499"/>
      <c r="V38" s="499"/>
      <c r="W38" s="499"/>
      <c r="X38" s="499"/>
      <c r="Y38" s="499"/>
      <c r="Z38" s="499"/>
      <c r="AA38" s="499"/>
      <c r="AB38" s="499"/>
      <c r="AC38" s="499"/>
      <c r="AD38" s="499"/>
      <c r="AE38" s="499"/>
      <c r="AF38" s="499"/>
      <c r="AG38" s="499"/>
      <c r="AH38" s="499"/>
      <c r="AI38" s="499"/>
      <c r="AJ38" s="500"/>
    </row>
    <row r="39" spans="4:36" ht="18" hidden="1" customHeight="1">
      <c r="D39" s="517"/>
      <c r="E39" s="517"/>
      <c r="F39" s="517"/>
      <c r="G39" s="517"/>
      <c r="H39" s="517"/>
      <c r="I39" s="517"/>
      <c r="J39" s="517"/>
      <c r="K39" s="517"/>
      <c r="L39" s="517"/>
      <c r="M39" s="215" t="str">
        <f t="shared" si="2"/>
        <v/>
      </c>
      <c r="N39" s="498"/>
      <c r="O39" s="499"/>
      <c r="P39" s="499"/>
      <c r="Q39" s="499"/>
      <c r="R39" s="499"/>
      <c r="S39" s="499"/>
      <c r="T39" s="499"/>
      <c r="U39" s="499"/>
      <c r="V39" s="499"/>
      <c r="W39" s="499"/>
      <c r="X39" s="499"/>
      <c r="Y39" s="499"/>
      <c r="Z39" s="499"/>
      <c r="AA39" s="499"/>
      <c r="AB39" s="499"/>
      <c r="AC39" s="499"/>
      <c r="AD39" s="499"/>
      <c r="AE39" s="499"/>
      <c r="AF39" s="499"/>
      <c r="AG39" s="499"/>
      <c r="AH39" s="499"/>
      <c r="AI39" s="499"/>
      <c r="AJ39" s="500"/>
    </row>
    <row r="40" spans="4:36" ht="18" hidden="1" customHeight="1">
      <c r="D40" s="517"/>
      <c r="E40" s="517"/>
      <c r="F40" s="517"/>
      <c r="G40" s="517"/>
      <c r="H40" s="517"/>
      <c r="I40" s="517"/>
      <c r="J40" s="517"/>
      <c r="K40" s="517"/>
      <c r="L40" s="517"/>
      <c r="M40" s="215" t="str">
        <f t="shared" si="2"/>
        <v/>
      </c>
      <c r="N40" s="498"/>
      <c r="O40" s="499"/>
      <c r="P40" s="499"/>
      <c r="Q40" s="499"/>
      <c r="R40" s="499"/>
      <c r="S40" s="499"/>
      <c r="T40" s="499"/>
      <c r="U40" s="499"/>
      <c r="V40" s="499"/>
      <c r="W40" s="499"/>
      <c r="X40" s="499"/>
      <c r="Y40" s="499"/>
      <c r="Z40" s="499"/>
      <c r="AA40" s="499"/>
      <c r="AB40" s="499"/>
      <c r="AC40" s="499"/>
      <c r="AD40" s="499"/>
      <c r="AE40" s="499"/>
      <c r="AF40" s="499"/>
      <c r="AG40" s="499"/>
      <c r="AH40" s="499"/>
      <c r="AI40" s="499"/>
      <c r="AJ40" s="500"/>
    </row>
    <row r="41" spans="4:36" ht="18" hidden="1" customHeight="1">
      <c r="D41" s="518"/>
      <c r="E41" s="518"/>
      <c r="F41" s="518"/>
      <c r="G41" s="518"/>
      <c r="H41" s="518"/>
      <c r="I41" s="518"/>
      <c r="J41" s="518"/>
      <c r="K41" s="518"/>
      <c r="L41" s="518"/>
      <c r="M41" s="215" t="str">
        <f t="shared" si="2"/>
        <v/>
      </c>
      <c r="N41" s="512"/>
      <c r="O41" s="513"/>
      <c r="P41" s="513"/>
      <c r="Q41" s="513"/>
      <c r="R41" s="513"/>
      <c r="S41" s="513"/>
      <c r="T41" s="513"/>
      <c r="U41" s="513"/>
      <c r="V41" s="513"/>
      <c r="W41" s="513"/>
      <c r="X41" s="513"/>
      <c r="Y41" s="513"/>
      <c r="Z41" s="513"/>
      <c r="AA41" s="513"/>
      <c r="AB41" s="513"/>
      <c r="AC41" s="513"/>
      <c r="AD41" s="513"/>
      <c r="AE41" s="513"/>
      <c r="AF41" s="513"/>
      <c r="AG41" s="513"/>
      <c r="AH41" s="513"/>
      <c r="AI41" s="513"/>
      <c r="AJ41" s="514"/>
    </row>
    <row r="42" spans="4:36" ht="18" hidden="1" customHeight="1">
      <c r="D42" s="515" t="s">
        <v>115</v>
      </c>
      <c r="E42" s="516"/>
      <c r="F42" s="516"/>
      <c r="G42" s="516"/>
      <c r="H42" s="516"/>
      <c r="I42" s="516"/>
      <c r="J42" s="516"/>
      <c r="K42" s="516"/>
      <c r="L42" s="516"/>
      <c r="M42" s="214" t="str">
        <f t="shared" si="2"/>
        <v>l</v>
      </c>
      <c r="N42" s="509" t="s">
        <v>116</v>
      </c>
      <c r="O42" s="510"/>
      <c r="P42" s="510"/>
      <c r="Q42" s="510"/>
      <c r="R42" s="510"/>
      <c r="S42" s="510"/>
      <c r="T42" s="510"/>
      <c r="U42" s="510"/>
      <c r="V42" s="510"/>
      <c r="W42" s="510"/>
      <c r="X42" s="510"/>
      <c r="Y42" s="510"/>
      <c r="Z42" s="510"/>
      <c r="AA42" s="510"/>
      <c r="AB42" s="510"/>
      <c r="AC42" s="510"/>
      <c r="AD42" s="510"/>
      <c r="AE42" s="510"/>
      <c r="AF42" s="510"/>
      <c r="AG42" s="510"/>
      <c r="AH42" s="510"/>
      <c r="AI42" s="510"/>
      <c r="AJ42" s="511"/>
    </row>
    <row r="43" spans="4:36" ht="18" hidden="1" customHeight="1">
      <c r="D43" s="517"/>
      <c r="E43" s="517"/>
      <c r="F43" s="517"/>
      <c r="G43" s="517"/>
      <c r="H43" s="517"/>
      <c r="I43" s="517"/>
      <c r="J43" s="517"/>
      <c r="K43" s="517"/>
      <c r="L43" s="517"/>
      <c r="M43" s="215" t="str">
        <f t="shared" si="2"/>
        <v>l</v>
      </c>
      <c r="N43" s="498" t="s">
        <v>116</v>
      </c>
      <c r="O43" s="499"/>
      <c r="P43" s="499"/>
      <c r="Q43" s="499"/>
      <c r="R43" s="499"/>
      <c r="S43" s="499"/>
      <c r="T43" s="499"/>
      <c r="U43" s="499"/>
      <c r="V43" s="499"/>
      <c r="W43" s="499"/>
      <c r="X43" s="499"/>
      <c r="Y43" s="499"/>
      <c r="Z43" s="499"/>
      <c r="AA43" s="499"/>
      <c r="AB43" s="499"/>
      <c r="AC43" s="499"/>
      <c r="AD43" s="499"/>
      <c r="AE43" s="499"/>
      <c r="AF43" s="499"/>
      <c r="AG43" s="499"/>
      <c r="AH43" s="499"/>
      <c r="AI43" s="499"/>
      <c r="AJ43" s="500"/>
    </row>
    <row r="44" spans="4:36" ht="18" hidden="1" customHeight="1">
      <c r="D44" s="517"/>
      <c r="E44" s="517"/>
      <c r="F44" s="517"/>
      <c r="G44" s="517"/>
      <c r="H44" s="517"/>
      <c r="I44" s="517"/>
      <c r="J44" s="517"/>
      <c r="K44" s="517"/>
      <c r="L44" s="517"/>
      <c r="M44" s="215" t="str">
        <f t="shared" si="2"/>
        <v/>
      </c>
      <c r="N44" s="498"/>
      <c r="O44" s="499"/>
      <c r="P44" s="499"/>
      <c r="Q44" s="499"/>
      <c r="R44" s="499"/>
      <c r="S44" s="499"/>
      <c r="T44" s="499"/>
      <c r="U44" s="499"/>
      <c r="V44" s="499"/>
      <c r="W44" s="499"/>
      <c r="X44" s="499"/>
      <c r="Y44" s="499"/>
      <c r="Z44" s="499"/>
      <c r="AA44" s="499"/>
      <c r="AB44" s="499"/>
      <c r="AC44" s="499"/>
      <c r="AD44" s="499"/>
      <c r="AE44" s="499"/>
      <c r="AF44" s="499"/>
      <c r="AG44" s="499"/>
      <c r="AH44" s="499"/>
      <c r="AI44" s="499"/>
      <c r="AJ44" s="500"/>
    </row>
    <row r="45" spans="4:36" ht="18" hidden="1" customHeight="1">
      <c r="D45" s="517"/>
      <c r="E45" s="517"/>
      <c r="F45" s="517"/>
      <c r="G45" s="517"/>
      <c r="H45" s="517"/>
      <c r="I45" s="517"/>
      <c r="J45" s="517"/>
      <c r="K45" s="517"/>
      <c r="L45" s="517"/>
      <c r="M45" s="215" t="str">
        <f t="shared" si="2"/>
        <v/>
      </c>
      <c r="N45" s="498"/>
      <c r="O45" s="499"/>
      <c r="P45" s="499"/>
      <c r="Q45" s="499"/>
      <c r="R45" s="499"/>
      <c r="S45" s="499"/>
      <c r="T45" s="499"/>
      <c r="U45" s="499"/>
      <c r="V45" s="499"/>
      <c r="W45" s="499"/>
      <c r="X45" s="499"/>
      <c r="Y45" s="499"/>
      <c r="Z45" s="499"/>
      <c r="AA45" s="499"/>
      <c r="AB45" s="499"/>
      <c r="AC45" s="499"/>
      <c r="AD45" s="499"/>
      <c r="AE45" s="499"/>
      <c r="AF45" s="499"/>
      <c r="AG45" s="499"/>
      <c r="AH45" s="499"/>
      <c r="AI45" s="499"/>
      <c r="AJ45" s="500"/>
    </row>
    <row r="46" spans="4:36" ht="18" hidden="1" customHeight="1">
      <c r="D46" s="517"/>
      <c r="E46" s="517"/>
      <c r="F46" s="517"/>
      <c r="G46" s="517"/>
      <c r="H46" s="517"/>
      <c r="I46" s="517"/>
      <c r="J46" s="517"/>
      <c r="K46" s="517"/>
      <c r="L46" s="517"/>
      <c r="M46" s="215" t="str">
        <f>IF(N46="","","l")</f>
        <v/>
      </c>
      <c r="N46" s="498"/>
      <c r="O46" s="499"/>
      <c r="P46" s="499"/>
      <c r="Q46" s="499"/>
      <c r="R46" s="499"/>
      <c r="S46" s="499"/>
      <c r="T46" s="499"/>
      <c r="U46" s="499"/>
      <c r="V46" s="499"/>
      <c r="W46" s="499"/>
      <c r="X46" s="499"/>
      <c r="Y46" s="499"/>
      <c r="Z46" s="499"/>
      <c r="AA46" s="499"/>
      <c r="AB46" s="499"/>
      <c r="AC46" s="499"/>
      <c r="AD46" s="499"/>
      <c r="AE46" s="499"/>
      <c r="AF46" s="499"/>
      <c r="AG46" s="499"/>
      <c r="AH46" s="499"/>
      <c r="AI46" s="499"/>
      <c r="AJ46" s="500"/>
    </row>
    <row r="47" spans="4:36" ht="18" hidden="1" customHeight="1">
      <c r="D47" s="517"/>
      <c r="E47" s="517"/>
      <c r="F47" s="517"/>
      <c r="G47" s="517"/>
      <c r="H47" s="517"/>
      <c r="I47" s="517"/>
      <c r="J47" s="517"/>
      <c r="K47" s="517"/>
      <c r="L47" s="517"/>
      <c r="M47" s="215" t="str">
        <f t="shared" ref="M47:M56" si="3">IF(N47="","","l")</f>
        <v/>
      </c>
      <c r="N47" s="498"/>
      <c r="O47" s="499"/>
      <c r="P47" s="499"/>
      <c r="Q47" s="499"/>
      <c r="R47" s="499"/>
      <c r="S47" s="499"/>
      <c r="T47" s="499"/>
      <c r="U47" s="499"/>
      <c r="V47" s="499"/>
      <c r="W47" s="499"/>
      <c r="X47" s="499"/>
      <c r="Y47" s="499"/>
      <c r="Z47" s="499"/>
      <c r="AA47" s="499"/>
      <c r="AB47" s="499"/>
      <c r="AC47" s="499"/>
      <c r="AD47" s="499"/>
      <c r="AE47" s="499"/>
      <c r="AF47" s="499"/>
      <c r="AG47" s="499"/>
      <c r="AH47" s="499"/>
      <c r="AI47" s="499"/>
      <c r="AJ47" s="500"/>
    </row>
    <row r="48" spans="4:36" ht="18" hidden="1" customHeight="1">
      <c r="D48" s="517"/>
      <c r="E48" s="517"/>
      <c r="F48" s="517"/>
      <c r="G48" s="517"/>
      <c r="H48" s="517"/>
      <c r="I48" s="517"/>
      <c r="J48" s="517"/>
      <c r="K48" s="517"/>
      <c r="L48" s="517"/>
      <c r="M48" s="215" t="str">
        <f t="shared" si="3"/>
        <v/>
      </c>
      <c r="N48" s="498"/>
      <c r="O48" s="499"/>
      <c r="P48" s="499"/>
      <c r="Q48" s="499"/>
      <c r="R48" s="499"/>
      <c r="S48" s="499"/>
      <c r="T48" s="499"/>
      <c r="U48" s="499"/>
      <c r="V48" s="499"/>
      <c r="W48" s="499"/>
      <c r="X48" s="499"/>
      <c r="Y48" s="499"/>
      <c r="Z48" s="499"/>
      <c r="AA48" s="499"/>
      <c r="AB48" s="499"/>
      <c r="AC48" s="499"/>
      <c r="AD48" s="499"/>
      <c r="AE48" s="499"/>
      <c r="AF48" s="499"/>
      <c r="AG48" s="499"/>
      <c r="AH48" s="499"/>
      <c r="AI48" s="499"/>
      <c r="AJ48" s="500"/>
    </row>
    <row r="49" spans="4:46" ht="18" hidden="1" customHeight="1">
      <c r="D49" s="517"/>
      <c r="E49" s="517"/>
      <c r="F49" s="517"/>
      <c r="G49" s="517"/>
      <c r="H49" s="517"/>
      <c r="I49" s="517"/>
      <c r="J49" s="517"/>
      <c r="K49" s="517"/>
      <c r="L49" s="517"/>
      <c r="M49" s="215" t="str">
        <f t="shared" si="3"/>
        <v/>
      </c>
      <c r="N49" s="498"/>
      <c r="O49" s="499"/>
      <c r="P49" s="499"/>
      <c r="Q49" s="499"/>
      <c r="R49" s="499"/>
      <c r="S49" s="499"/>
      <c r="T49" s="499"/>
      <c r="U49" s="499"/>
      <c r="V49" s="499"/>
      <c r="W49" s="499"/>
      <c r="X49" s="499"/>
      <c r="Y49" s="499"/>
      <c r="Z49" s="499"/>
      <c r="AA49" s="499"/>
      <c r="AB49" s="499"/>
      <c r="AC49" s="499"/>
      <c r="AD49" s="499"/>
      <c r="AE49" s="499"/>
      <c r="AF49" s="499"/>
      <c r="AG49" s="499"/>
      <c r="AH49" s="499"/>
      <c r="AI49" s="499"/>
      <c r="AJ49" s="500"/>
    </row>
    <row r="50" spans="4:46" ht="18" hidden="1" customHeight="1">
      <c r="D50" s="517"/>
      <c r="E50" s="517"/>
      <c r="F50" s="517"/>
      <c r="G50" s="517"/>
      <c r="H50" s="517"/>
      <c r="I50" s="517"/>
      <c r="J50" s="517"/>
      <c r="K50" s="517"/>
      <c r="L50" s="517"/>
      <c r="M50" s="215" t="str">
        <f t="shared" si="3"/>
        <v/>
      </c>
      <c r="N50" s="498"/>
      <c r="O50" s="499"/>
      <c r="P50" s="499"/>
      <c r="Q50" s="499"/>
      <c r="R50" s="499"/>
      <c r="S50" s="499"/>
      <c r="T50" s="499"/>
      <c r="U50" s="499"/>
      <c r="V50" s="499"/>
      <c r="W50" s="499"/>
      <c r="X50" s="499"/>
      <c r="Y50" s="499"/>
      <c r="Z50" s="499"/>
      <c r="AA50" s="499"/>
      <c r="AB50" s="499"/>
      <c r="AC50" s="499"/>
      <c r="AD50" s="499"/>
      <c r="AE50" s="499"/>
      <c r="AF50" s="499"/>
      <c r="AG50" s="499"/>
      <c r="AH50" s="499"/>
      <c r="AI50" s="499"/>
      <c r="AJ50" s="500"/>
    </row>
    <row r="51" spans="4:46" ht="18" hidden="1" customHeight="1">
      <c r="D51" s="517"/>
      <c r="E51" s="517"/>
      <c r="F51" s="517"/>
      <c r="G51" s="517"/>
      <c r="H51" s="517"/>
      <c r="I51" s="517"/>
      <c r="J51" s="517"/>
      <c r="K51" s="517"/>
      <c r="L51" s="517"/>
      <c r="M51" s="215" t="str">
        <f t="shared" si="3"/>
        <v/>
      </c>
      <c r="N51" s="498"/>
      <c r="O51" s="499"/>
      <c r="P51" s="499"/>
      <c r="Q51" s="499"/>
      <c r="R51" s="499"/>
      <c r="S51" s="499"/>
      <c r="T51" s="499"/>
      <c r="U51" s="499"/>
      <c r="V51" s="499"/>
      <c r="W51" s="499"/>
      <c r="X51" s="499"/>
      <c r="Y51" s="499"/>
      <c r="Z51" s="499"/>
      <c r="AA51" s="499"/>
      <c r="AB51" s="499"/>
      <c r="AC51" s="499"/>
      <c r="AD51" s="499"/>
      <c r="AE51" s="499"/>
      <c r="AF51" s="499"/>
      <c r="AG51" s="499"/>
      <c r="AH51" s="499"/>
      <c r="AI51" s="499"/>
      <c r="AJ51" s="500"/>
    </row>
    <row r="52" spans="4:46" ht="18" hidden="1" customHeight="1">
      <c r="D52" s="518"/>
      <c r="E52" s="518"/>
      <c r="F52" s="518"/>
      <c r="G52" s="518"/>
      <c r="H52" s="518"/>
      <c r="I52" s="518"/>
      <c r="J52" s="518"/>
      <c r="K52" s="518"/>
      <c r="L52" s="518"/>
      <c r="M52" s="215" t="str">
        <f t="shared" si="3"/>
        <v/>
      </c>
      <c r="N52" s="498"/>
      <c r="O52" s="499"/>
      <c r="P52" s="499"/>
      <c r="Q52" s="499"/>
      <c r="R52" s="499"/>
      <c r="S52" s="499"/>
      <c r="T52" s="499"/>
      <c r="U52" s="499"/>
      <c r="V52" s="499"/>
      <c r="W52" s="499"/>
      <c r="X52" s="499"/>
      <c r="Y52" s="499"/>
      <c r="Z52" s="499"/>
      <c r="AA52" s="499"/>
      <c r="AB52" s="499"/>
      <c r="AC52" s="499"/>
      <c r="AD52" s="499"/>
      <c r="AE52" s="499"/>
      <c r="AF52" s="499"/>
      <c r="AG52" s="499"/>
      <c r="AH52" s="499"/>
      <c r="AI52" s="499"/>
      <c r="AJ52" s="500"/>
    </row>
    <row r="53" spans="4:46" ht="18" hidden="1" customHeight="1">
      <c r="D53" s="515" t="s">
        <v>117</v>
      </c>
      <c r="E53" s="516"/>
      <c r="F53" s="516"/>
      <c r="G53" s="516"/>
      <c r="H53" s="516"/>
      <c r="I53" s="516"/>
      <c r="J53" s="516"/>
      <c r="K53" s="516"/>
      <c r="L53" s="516"/>
      <c r="M53" s="214" t="str">
        <f t="shared" si="3"/>
        <v>l</v>
      </c>
      <c r="N53" s="509" t="s">
        <v>118</v>
      </c>
      <c r="O53" s="510"/>
      <c r="P53" s="510"/>
      <c r="Q53" s="510"/>
      <c r="R53" s="510"/>
      <c r="S53" s="510"/>
      <c r="T53" s="510"/>
      <c r="U53" s="510"/>
      <c r="V53" s="510"/>
      <c r="W53" s="510"/>
      <c r="X53" s="510"/>
      <c r="Y53" s="510"/>
      <c r="Z53" s="510"/>
      <c r="AA53" s="510"/>
      <c r="AB53" s="510"/>
      <c r="AC53" s="510"/>
      <c r="AD53" s="510"/>
      <c r="AE53" s="510"/>
      <c r="AF53" s="510"/>
      <c r="AG53" s="510"/>
      <c r="AH53" s="510"/>
      <c r="AI53" s="510"/>
      <c r="AJ53" s="511"/>
    </row>
    <row r="54" spans="4:46" ht="18" hidden="1" customHeight="1">
      <c r="D54" s="517"/>
      <c r="E54" s="517"/>
      <c r="F54" s="517"/>
      <c r="G54" s="517"/>
      <c r="H54" s="517"/>
      <c r="I54" s="517"/>
      <c r="J54" s="517"/>
      <c r="K54" s="517"/>
      <c r="L54" s="517"/>
      <c r="M54" s="215" t="str">
        <f t="shared" si="3"/>
        <v>l</v>
      </c>
      <c r="N54" s="498" t="s">
        <v>118</v>
      </c>
      <c r="O54" s="499"/>
      <c r="P54" s="499"/>
      <c r="Q54" s="499"/>
      <c r="R54" s="499"/>
      <c r="S54" s="499"/>
      <c r="T54" s="499"/>
      <c r="U54" s="499"/>
      <c r="V54" s="499"/>
      <c r="W54" s="499"/>
      <c r="X54" s="499"/>
      <c r="Y54" s="499"/>
      <c r="Z54" s="499"/>
      <c r="AA54" s="499"/>
      <c r="AB54" s="499"/>
      <c r="AC54" s="499"/>
      <c r="AD54" s="499"/>
      <c r="AE54" s="499"/>
      <c r="AF54" s="499"/>
      <c r="AG54" s="499"/>
      <c r="AH54" s="499"/>
      <c r="AI54" s="499"/>
      <c r="AJ54" s="500"/>
      <c r="AM54" s="526" t="s">
        <v>119</v>
      </c>
      <c r="AN54" s="527"/>
      <c r="AO54" s="527"/>
      <c r="AP54" s="527"/>
      <c r="AQ54" s="527"/>
      <c r="AR54" s="527"/>
      <c r="AS54" s="527"/>
      <c r="AT54" s="527"/>
    </row>
    <row r="55" spans="4:46" ht="18" hidden="1" customHeight="1">
      <c r="D55" s="517"/>
      <c r="E55" s="517"/>
      <c r="F55" s="517"/>
      <c r="G55" s="517"/>
      <c r="H55" s="517"/>
      <c r="I55" s="517"/>
      <c r="J55" s="517"/>
      <c r="K55" s="517"/>
      <c r="L55" s="517"/>
      <c r="M55" s="215" t="str">
        <f t="shared" si="3"/>
        <v/>
      </c>
      <c r="N55" s="498"/>
      <c r="O55" s="499"/>
      <c r="P55" s="499"/>
      <c r="Q55" s="499"/>
      <c r="R55" s="499"/>
      <c r="S55" s="499"/>
      <c r="T55" s="499"/>
      <c r="U55" s="499"/>
      <c r="V55" s="499"/>
      <c r="W55" s="499"/>
      <c r="X55" s="499"/>
      <c r="Y55" s="499"/>
      <c r="Z55" s="499"/>
      <c r="AA55" s="499"/>
      <c r="AB55" s="499"/>
      <c r="AC55" s="499"/>
      <c r="AD55" s="499"/>
      <c r="AE55" s="499"/>
      <c r="AF55" s="499"/>
      <c r="AG55" s="499"/>
      <c r="AH55" s="499"/>
      <c r="AI55" s="499"/>
      <c r="AJ55" s="500"/>
      <c r="AM55" s="527"/>
      <c r="AN55" s="527"/>
      <c r="AO55" s="527"/>
      <c r="AP55" s="527"/>
      <c r="AQ55" s="527"/>
      <c r="AR55" s="527"/>
      <c r="AS55" s="527"/>
      <c r="AT55" s="527"/>
    </row>
    <row r="56" spans="4:46" ht="18" hidden="1" customHeight="1">
      <c r="D56" s="517"/>
      <c r="E56" s="517"/>
      <c r="F56" s="517"/>
      <c r="G56" s="517"/>
      <c r="H56" s="517"/>
      <c r="I56" s="517"/>
      <c r="J56" s="517"/>
      <c r="K56" s="517"/>
      <c r="L56" s="517"/>
      <c r="M56" s="215" t="str">
        <f t="shared" si="3"/>
        <v/>
      </c>
      <c r="N56" s="498"/>
      <c r="O56" s="499"/>
      <c r="P56" s="499"/>
      <c r="Q56" s="499"/>
      <c r="R56" s="499"/>
      <c r="S56" s="499"/>
      <c r="T56" s="499"/>
      <c r="U56" s="499"/>
      <c r="V56" s="499"/>
      <c r="W56" s="499"/>
      <c r="X56" s="499"/>
      <c r="Y56" s="499"/>
      <c r="Z56" s="499"/>
      <c r="AA56" s="499"/>
      <c r="AB56" s="499"/>
      <c r="AC56" s="499"/>
      <c r="AD56" s="499"/>
      <c r="AE56" s="499"/>
      <c r="AF56" s="499"/>
      <c r="AG56" s="499"/>
      <c r="AH56" s="499"/>
      <c r="AI56" s="499"/>
      <c r="AJ56" s="500"/>
      <c r="AM56" s="527"/>
      <c r="AN56" s="527"/>
      <c r="AO56" s="527"/>
      <c r="AP56" s="527"/>
      <c r="AQ56" s="527"/>
      <c r="AR56" s="527"/>
      <c r="AS56" s="527"/>
      <c r="AT56" s="527"/>
    </row>
    <row r="57" spans="4:46" ht="18" hidden="1" customHeight="1">
      <c r="D57" s="517"/>
      <c r="E57" s="517"/>
      <c r="F57" s="517"/>
      <c r="G57" s="517"/>
      <c r="H57" s="517"/>
      <c r="I57" s="517"/>
      <c r="J57" s="517"/>
      <c r="K57" s="517"/>
      <c r="L57" s="517"/>
      <c r="M57" s="215" t="str">
        <f>IF(N57="","","l")</f>
        <v/>
      </c>
      <c r="N57" s="498"/>
      <c r="O57" s="499"/>
      <c r="P57" s="499"/>
      <c r="Q57" s="499"/>
      <c r="R57" s="499"/>
      <c r="S57" s="499"/>
      <c r="T57" s="499"/>
      <c r="U57" s="499"/>
      <c r="V57" s="499"/>
      <c r="W57" s="499"/>
      <c r="X57" s="499"/>
      <c r="Y57" s="499"/>
      <c r="Z57" s="499"/>
      <c r="AA57" s="499"/>
      <c r="AB57" s="499"/>
      <c r="AC57" s="499"/>
      <c r="AD57" s="499"/>
      <c r="AE57" s="499"/>
      <c r="AF57" s="499"/>
      <c r="AG57" s="499"/>
      <c r="AH57" s="499"/>
      <c r="AI57" s="499"/>
      <c r="AJ57" s="500"/>
      <c r="AM57" s="527"/>
      <c r="AN57" s="527"/>
      <c r="AO57" s="527"/>
      <c r="AP57" s="527"/>
      <c r="AQ57" s="527"/>
      <c r="AR57" s="527"/>
      <c r="AS57" s="527"/>
      <c r="AT57" s="527"/>
    </row>
    <row r="58" spans="4:46" ht="18" hidden="1" customHeight="1">
      <c r="D58" s="517"/>
      <c r="E58" s="517"/>
      <c r="F58" s="517"/>
      <c r="G58" s="517"/>
      <c r="H58" s="517"/>
      <c r="I58" s="517"/>
      <c r="J58" s="517"/>
      <c r="K58" s="517"/>
      <c r="L58" s="517"/>
      <c r="M58" s="215" t="str">
        <f t="shared" ref="M58:M63" si="4">IF(N58="","","l")</f>
        <v/>
      </c>
      <c r="N58" s="498"/>
      <c r="O58" s="499"/>
      <c r="P58" s="499"/>
      <c r="Q58" s="499"/>
      <c r="R58" s="499"/>
      <c r="S58" s="499"/>
      <c r="T58" s="499"/>
      <c r="U58" s="499"/>
      <c r="V58" s="499"/>
      <c r="W58" s="499"/>
      <c r="X58" s="499"/>
      <c r="Y58" s="499"/>
      <c r="Z58" s="499"/>
      <c r="AA58" s="499"/>
      <c r="AB58" s="499"/>
      <c r="AC58" s="499"/>
      <c r="AD58" s="499"/>
      <c r="AE58" s="499"/>
      <c r="AF58" s="499"/>
      <c r="AG58" s="499"/>
      <c r="AH58" s="499"/>
      <c r="AI58" s="499"/>
      <c r="AJ58" s="500"/>
      <c r="AM58" s="527"/>
      <c r="AN58" s="527"/>
      <c r="AO58" s="527"/>
      <c r="AP58" s="527"/>
      <c r="AQ58" s="527"/>
      <c r="AR58" s="527"/>
      <c r="AS58" s="527"/>
      <c r="AT58" s="527"/>
    </row>
    <row r="59" spans="4:46" ht="18" hidden="1" customHeight="1">
      <c r="D59" s="517"/>
      <c r="E59" s="517"/>
      <c r="F59" s="517"/>
      <c r="G59" s="517"/>
      <c r="H59" s="517"/>
      <c r="I59" s="517"/>
      <c r="J59" s="517"/>
      <c r="K59" s="517"/>
      <c r="L59" s="517"/>
      <c r="M59" s="215" t="str">
        <f t="shared" si="4"/>
        <v/>
      </c>
      <c r="N59" s="498"/>
      <c r="O59" s="499"/>
      <c r="P59" s="499"/>
      <c r="Q59" s="499"/>
      <c r="R59" s="499"/>
      <c r="S59" s="499"/>
      <c r="T59" s="499"/>
      <c r="U59" s="499"/>
      <c r="V59" s="499"/>
      <c r="W59" s="499"/>
      <c r="X59" s="499"/>
      <c r="Y59" s="499"/>
      <c r="Z59" s="499"/>
      <c r="AA59" s="499"/>
      <c r="AB59" s="499"/>
      <c r="AC59" s="499"/>
      <c r="AD59" s="499"/>
      <c r="AE59" s="499"/>
      <c r="AF59" s="499"/>
      <c r="AG59" s="499"/>
      <c r="AH59" s="499"/>
      <c r="AI59" s="499"/>
      <c r="AJ59" s="500"/>
      <c r="AM59" s="527"/>
      <c r="AN59" s="527"/>
      <c r="AO59" s="527"/>
      <c r="AP59" s="527"/>
      <c r="AQ59" s="527"/>
      <c r="AR59" s="527"/>
      <c r="AS59" s="527"/>
      <c r="AT59" s="527"/>
    </row>
    <row r="60" spans="4:46" ht="18" hidden="1" customHeight="1">
      <c r="D60" s="517"/>
      <c r="E60" s="517"/>
      <c r="F60" s="517"/>
      <c r="G60" s="517"/>
      <c r="H60" s="517"/>
      <c r="I60" s="517"/>
      <c r="J60" s="517"/>
      <c r="K60" s="517"/>
      <c r="L60" s="517"/>
      <c r="M60" s="215" t="str">
        <f t="shared" si="4"/>
        <v/>
      </c>
      <c r="N60" s="498"/>
      <c r="O60" s="499"/>
      <c r="P60" s="499"/>
      <c r="Q60" s="499"/>
      <c r="R60" s="499"/>
      <c r="S60" s="499"/>
      <c r="T60" s="499"/>
      <c r="U60" s="499"/>
      <c r="V60" s="499"/>
      <c r="W60" s="499"/>
      <c r="X60" s="499"/>
      <c r="Y60" s="499"/>
      <c r="Z60" s="499"/>
      <c r="AA60" s="499"/>
      <c r="AB60" s="499"/>
      <c r="AC60" s="499"/>
      <c r="AD60" s="499"/>
      <c r="AE60" s="499"/>
      <c r="AF60" s="499"/>
      <c r="AG60" s="499"/>
      <c r="AH60" s="499"/>
      <c r="AI60" s="499"/>
      <c r="AJ60" s="500"/>
      <c r="AM60" s="527"/>
      <c r="AN60" s="527"/>
      <c r="AO60" s="527"/>
      <c r="AP60" s="527"/>
      <c r="AQ60" s="527"/>
      <c r="AR60" s="527"/>
      <c r="AS60" s="527"/>
      <c r="AT60" s="527"/>
    </row>
    <row r="61" spans="4:46" ht="18" hidden="1" customHeight="1">
      <c r="D61" s="517"/>
      <c r="E61" s="517"/>
      <c r="F61" s="517"/>
      <c r="G61" s="517"/>
      <c r="H61" s="517"/>
      <c r="I61" s="517"/>
      <c r="J61" s="517"/>
      <c r="K61" s="517"/>
      <c r="L61" s="517"/>
      <c r="M61" s="215" t="str">
        <f t="shared" si="4"/>
        <v/>
      </c>
      <c r="N61" s="498"/>
      <c r="O61" s="499"/>
      <c r="P61" s="499"/>
      <c r="Q61" s="499"/>
      <c r="R61" s="499"/>
      <c r="S61" s="499"/>
      <c r="T61" s="499"/>
      <c r="U61" s="499"/>
      <c r="V61" s="499"/>
      <c r="W61" s="499"/>
      <c r="X61" s="499"/>
      <c r="Y61" s="499"/>
      <c r="Z61" s="499"/>
      <c r="AA61" s="499"/>
      <c r="AB61" s="499"/>
      <c r="AC61" s="499"/>
      <c r="AD61" s="499"/>
      <c r="AE61" s="499"/>
      <c r="AF61" s="499"/>
      <c r="AG61" s="499"/>
      <c r="AH61" s="499"/>
      <c r="AI61" s="499"/>
      <c r="AJ61" s="500"/>
      <c r="AM61" s="527"/>
      <c r="AN61" s="527"/>
      <c r="AO61" s="527"/>
      <c r="AP61" s="527"/>
      <c r="AQ61" s="527"/>
      <c r="AR61" s="527"/>
      <c r="AS61" s="527"/>
      <c r="AT61" s="527"/>
    </row>
    <row r="62" spans="4:46" ht="18" hidden="1" customHeight="1">
      <c r="D62" s="517"/>
      <c r="E62" s="517"/>
      <c r="F62" s="517"/>
      <c r="G62" s="517"/>
      <c r="H62" s="517"/>
      <c r="I62" s="517"/>
      <c r="J62" s="517"/>
      <c r="K62" s="517"/>
      <c r="L62" s="517"/>
      <c r="M62" s="215" t="str">
        <f t="shared" si="4"/>
        <v/>
      </c>
      <c r="N62" s="498"/>
      <c r="O62" s="499"/>
      <c r="P62" s="499"/>
      <c r="Q62" s="499"/>
      <c r="R62" s="499"/>
      <c r="S62" s="499"/>
      <c r="T62" s="499"/>
      <c r="U62" s="499"/>
      <c r="V62" s="499"/>
      <c r="W62" s="499"/>
      <c r="X62" s="499"/>
      <c r="Y62" s="499"/>
      <c r="Z62" s="499"/>
      <c r="AA62" s="499"/>
      <c r="AB62" s="499"/>
      <c r="AC62" s="499"/>
      <c r="AD62" s="499"/>
      <c r="AE62" s="499"/>
      <c r="AF62" s="499"/>
      <c r="AG62" s="499"/>
      <c r="AH62" s="499"/>
      <c r="AI62" s="499"/>
      <c r="AJ62" s="500"/>
      <c r="AM62" s="527"/>
      <c r="AN62" s="527"/>
      <c r="AO62" s="527"/>
      <c r="AP62" s="527"/>
      <c r="AQ62" s="527"/>
      <c r="AR62" s="527"/>
      <c r="AS62" s="527"/>
      <c r="AT62" s="527"/>
    </row>
    <row r="63" spans="4:46" ht="18" hidden="1" customHeight="1">
      <c r="D63" s="518"/>
      <c r="E63" s="518"/>
      <c r="F63" s="518"/>
      <c r="G63" s="518"/>
      <c r="H63" s="518"/>
      <c r="I63" s="518"/>
      <c r="J63" s="518"/>
      <c r="K63" s="518"/>
      <c r="L63" s="518"/>
      <c r="M63" s="216" t="str">
        <f t="shared" si="4"/>
        <v/>
      </c>
      <c r="N63" s="512"/>
      <c r="O63" s="513"/>
      <c r="P63" s="513"/>
      <c r="Q63" s="513"/>
      <c r="R63" s="513"/>
      <c r="S63" s="513"/>
      <c r="T63" s="513"/>
      <c r="U63" s="513"/>
      <c r="V63" s="513"/>
      <c r="W63" s="513"/>
      <c r="X63" s="513"/>
      <c r="Y63" s="513"/>
      <c r="Z63" s="513"/>
      <c r="AA63" s="513"/>
      <c r="AB63" s="513"/>
      <c r="AC63" s="513"/>
      <c r="AD63" s="513"/>
      <c r="AE63" s="513"/>
      <c r="AF63" s="513"/>
      <c r="AG63" s="513"/>
      <c r="AH63" s="513"/>
      <c r="AI63" s="513"/>
      <c r="AJ63" s="514"/>
    </row>
    <row r="64" spans="4:46" hidden="1"/>
    <row r="65" hidden="1"/>
    <row r="66" hidden="1"/>
    <row r="67" hidden="1"/>
    <row r="68" hidden="1"/>
    <row r="69" hidden="1"/>
    <row r="70" hidden="1"/>
    <row r="71" hidden="1"/>
    <row r="72" hidden="1"/>
    <row r="73" hidden="1"/>
    <row r="74" hidden="1"/>
    <row r="75" hidden="1"/>
    <row r="76" hidden="1"/>
  </sheetData>
  <mergeCells count="83">
    <mergeCell ref="D31:L41"/>
    <mergeCell ref="E15:O15"/>
    <mergeCell ref="E16:O16"/>
    <mergeCell ref="V14:AA14"/>
    <mergeCell ref="V15:AA15"/>
    <mergeCell ref="V16:AA16"/>
    <mergeCell ref="E14:O14"/>
    <mergeCell ref="N20:AJ20"/>
    <mergeCell ref="N21:AJ21"/>
    <mergeCell ref="N22:AJ22"/>
    <mergeCell ref="N23:AJ23"/>
    <mergeCell ref="N31:AJ31"/>
    <mergeCell ref="AB17:AE17"/>
    <mergeCell ref="AB18:AE18"/>
    <mergeCell ref="AF18:AJ18"/>
    <mergeCell ref="AB14:AE14"/>
    <mergeCell ref="AM54:AT62"/>
    <mergeCell ref="N57:AJ57"/>
    <mergeCell ref="N58:AJ58"/>
    <mergeCell ref="N59:AJ59"/>
    <mergeCell ref="N60:AJ60"/>
    <mergeCell ref="N61:AJ61"/>
    <mergeCell ref="N62:AJ62"/>
    <mergeCell ref="N54:AJ54"/>
    <mergeCell ref="N49:AJ49"/>
    <mergeCell ref="N50:AJ50"/>
    <mergeCell ref="AF14:AJ14"/>
    <mergeCell ref="AF15:AJ15"/>
    <mergeCell ref="AF16:AJ16"/>
    <mergeCell ref="AF17:AJ17"/>
    <mergeCell ref="P14:U14"/>
    <mergeCell ref="P15:U15"/>
    <mergeCell ref="P16:U16"/>
    <mergeCell ref="P17:U17"/>
    <mergeCell ref="P18:U18"/>
    <mergeCell ref="D53:L63"/>
    <mergeCell ref="N32:AJ32"/>
    <mergeCell ref="D20:L30"/>
    <mergeCell ref="V17:AA17"/>
    <mergeCell ref="V18:AA18"/>
    <mergeCell ref="N30:AJ30"/>
    <mergeCell ref="N24:AJ24"/>
    <mergeCell ref="N55:AJ55"/>
    <mergeCell ref="N46:AJ46"/>
    <mergeCell ref="N47:AJ47"/>
    <mergeCell ref="N48:AJ48"/>
    <mergeCell ref="N51:AJ51"/>
    <mergeCell ref="N52:AJ52"/>
    <mergeCell ref="N53:AJ53"/>
    <mergeCell ref="N63:AJ63"/>
    <mergeCell ref="N56:AJ56"/>
    <mergeCell ref="D7:AE7"/>
    <mergeCell ref="U10:AE10"/>
    <mergeCell ref="N38:AJ38"/>
    <mergeCell ref="N45:AJ45"/>
    <mergeCell ref="N37:AJ37"/>
    <mergeCell ref="N40:AJ40"/>
    <mergeCell ref="N42:AJ42"/>
    <mergeCell ref="N39:AJ39"/>
    <mergeCell ref="N41:AJ41"/>
    <mergeCell ref="N43:AJ43"/>
    <mergeCell ref="N44:AJ44"/>
    <mergeCell ref="N34:AJ34"/>
    <mergeCell ref="N29:AJ29"/>
    <mergeCell ref="D42:L52"/>
    <mergeCell ref="E17:O17"/>
    <mergeCell ref="E18:O18"/>
    <mergeCell ref="B4:O4"/>
    <mergeCell ref="B5:O5"/>
    <mergeCell ref="N33:AJ33"/>
    <mergeCell ref="N35:AJ35"/>
    <mergeCell ref="N36:AJ36"/>
    <mergeCell ref="D12:AE12"/>
    <mergeCell ref="P4:AD4"/>
    <mergeCell ref="D10:T10"/>
    <mergeCell ref="AF11:AJ13"/>
    <mergeCell ref="P5:AB5"/>
    <mergeCell ref="N25:AJ25"/>
    <mergeCell ref="N26:AJ26"/>
    <mergeCell ref="N27:AJ27"/>
    <mergeCell ref="N28:AJ28"/>
    <mergeCell ref="AB15:AE15"/>
    <mergeCell ref="AB16:AE16"/>
  </mergeCells>
  <conditionalFormatting sqref="E14:U16">
    <cfRule type="cellIs" dxfId="931" priority="65" operator="equal">
      <formula>"&lt;add relevant review person here&gt;"</formula>
    </cfRule>
    <cfRule type="cellIs" dxfId="930" priority="66" operator="equal">
      <formula>"(pick skill set)"</formula>
    </cfRule>
  </conditionalFormatting>
  <conditionalFormatting sqref="H195">
    <cfRule type="expression" priority="56">
      <formula>IF($U$10:$AG$10="","test","no")</formula>
    </cfRule>
  </conditionalFormatting>
  <conditionalFormatting sqref="D12:AE12">
    <cfRule type="cellIs" dxfId="929" priority="1493" operator="equal">
      <formula>"MUST also obtain and report all FOGMan GA failure issues for this product seen in the field."</formula>
    </cfRule>
  </conditionalFormatting>
  <conditionalFormatting sqref="E17:O17">
    <cfRule type="cellIs" dxfId="928" priority="29" operator="equal">
      <formula>"&lt;add relevant review person here&gt;"</formula>
    </cfRule>
    <cfRule type="cellIs" dxfId="927" priority="30" operator="equal">
      <formula>"(pick skill set)"</formula>
    </cfRule>
  </conditionalFormatting>
  <conditionalFormatting sqref="E18:O18">
    <cfRule type="cellIs" dxfId="926" priority="27" operator="equal">
      <formula>"&lt;add relevant review person here&gt;"</formula>
    </cfRule>
    <cfRule type="cellIs" dxfId="925" priority="28" operator="equal">
      <formula>"(pick skill set)"</formula>
    </cfRule>
  </conditionalFormatting>
  <conditionalFormatting sqref="P17:U17">
    <cfRule type="cellIs" dxfId="924" priority="25" operator="equal">
      <formula>"&lt;add relevant review person here&gt;"</formula>
    </cfRule>
    <cfRule type="cellIs" dxfId="923" priority="26" operator="equal">
      <formula>"(pick skill set)"</formula>
    </cfRule>
  </conditionalFormatting>
  <conditionalFormatting sqref="P18:U18">
    <cfRule type="cellIs" dxfId="922" priority="23" operator="equal">
      <formula>"&lt;add relevant review person here&gt;"</formula>
    </cfRule>
    <cfRule type="cellIs" dxfId="921" priority="24" operator="equal">
      <formula>"(pick skill set)"</formula>
    </cfRule>
  </conditionalFormatting>
  <conditionalFormatting sqref="D16">
    <cfRule type="expression" dxfId="920" priority="22">
      <formula>$E$16=""</formula>
    </cfRule>
  </conditionalFormatting>
  <conditionalFormatting sqref="D17">
    <cfRule type="expression" dxfId="919" priority="21">
      <formula>$E$17=""</formula>
    </cfRule>
  </conditionalFormatting>
  <conditionalFormatting sqref="D18">
    <cfRule type="expression" dxfId="918" priority="20">
      <formula>$E$18=""</formula>
    </cfRule>
  </conditionalFormatting>
  <conditionalFormatting sqref="AF16:AJ16">
    <cfRule type="expression" dxfId="917" priority="12">
      <formula>$E$16&lt;&gt;""</formula>
    </cfRule>
  </conditionalFormatting>
  <conditionalFormatting sqref="AF17:AJ17">
    <cfRule type="expression" dxfId="916" priority="11">
      <formula>$E$17=""</formula>
    </cfRule>
  </conditionalFormatting>
  <conditionalFormatting sqref="AF18:AJ18">
    <cfRule type="expression" dxfId="915" priority="10">
      <formula>$E$18=""</formula>
    </cfRule>
  </conditionalFormatting>
  <conditionalFormatting sqref="D15">
    <cfRule type="expression" dxfId="914" priority="2">
      <formula>$E$15=""</formula>
    </cfRule>
  </conditionalFormatting>
  <conditionalFormatting sqref="E14:O14">
    <cfRule type="cellIs" dxfId="913" priority="1" operator="equal">
      <formula>"&lt;add TL-Inv or SO-FI (Investigations)&gt;"</formula>
    </cfRule>
  </conditionalFormatting>
  <pageMargins left="0.31496062992125984" right="0.19685039370078741" top="0.27559055118110237" bottom="0.55118110236220474" header="0.31496062992125984" footer="0"/>
  <pageSetup paperSize="9" scale="87" orientation="portrait" r:id="rId1"/>
  <headerFooter>
    <oddFooter>&amp;L&amp;"Arial,Regular"&amp;8&amp;F</oddFooter>
  </headerFooter>
  <extLst>
    <ext xmlns:x14="http://schemas.microsoft.com/office/spreadsheetml/2009/9/main" uri="{78C0D931-6437-407d-A8EE-F0AAD7539E65}">
      <x14:conditionalFormattings>
        <x14:conditionalFormatting xmlns:xm="http://schemas.microsoft.com/office/excel/2006/main">
          <x14:cfRule type="expression" priority="17" id="{D5B43077-B7C3-4F00-9B91-2CBDD40B717B}">
            <xm:f>IF('3. Registration'!U5&lt;&gt;'(admin) Drop Down Variables'!$D$12,"","")</xm:f>
            <x14:dxf>
              <border>
                <left/>
                <right/>
                <top/>
                <bottom style="thin">
                  <color auto="1"/>
                </bottom>
                <vertical/>
                <horizontal/>
              </border>
            </x14:dxf>
          </x14:cfRule>
          <xm:sqref>AR21</xm:sqref>
        </x14:conditionalFormatting>
        <x14:conditionalFormatting xmlns:xm="http://schemas.microsoft.com/office/excel/2006/main">
          <x14:cfRule type="expression" priority="46" stopIfTrue="1" id="{687AA7D4-50E9-49E9-B551-886DE1904E48}">
            <xm:f>$P$18='(admin) Drop Down Variables'!$D$47</xm:f>
            <x14:dxf>
              <font>
                <color theme="0"/>
              </font>
              <fill>
                <patternFill patternType="none">
                  <bgColor auto="1"/>
                </patternFill>
              </fill>
            </x14:dxf>
          </x14:cfRule>
          <x14:cfRule type="expression" priority="1489" stopIfTrue="1" id="{B1120CF4-C206-4E0E-91A2-B36A1B8E9A6A}">
            <xm:f>$P$17='(admin) Drop Down Variables'!$D$47</xm:f>
            <x14:dxf>
              <font>
                <color theme="0"/>
              </font>
              <fill>
                <patternFill patternType="none">
                  <bgColor auto="1"/>
                </patternFill>
              </fill>
            </x14:dxf>
          </x14:cfRule>
          <x14:cfRule type="expression" priority="1490" stopIfTrue="1" id="{96E7DED2-F349-4A10-8342-1479C413F1A3}">
            <xm:f>$P$16='(admin) Drop Down Variables'!$D$47</xm:f>
            <x14:dxf>
              <font>
                <color theme="0"/>
              </font>
              <fill>
                <patternFill patternType="none">
                  <bgColor auto="1"/>
                </patternFill>
              </fill>
            </x14:dxf>
          </x14:cfRule>
          <x14:cfRule type="expression" priority="1491" stopIfTrue="1" id="{28260B80-7AD2-4358-AA09-CA49C8252C80}">
            <xm:f>$P$15='(admin) Drop Down Variables'!$D$47</xm:f>
            <x14:dxf>
              <font>
                <color theme="0"/>
              </font>
              <fill>
                <patternFill patternType="none">
                  <bgColor auto="1"/>
                </patternFill>
              </fill>
            </x14:dxf>
          </x14:cfRule>
          <x14:cfRule type="expression" priority="1492" stopIfTrue="1" id="{E27EA965-EB8D-48DC-85B6-2A4E1275DA4A}">
            <xm:f>$P$14='(admin) Drop Down Variables'!$D$47</xm:f>
            <x14:dxf>
              <font>
                <color theme="0"/>
              </font>
              <fill>
                <patternFill patternType="none">
                  <bgColor auto="1"/>
                </patternFill>
              </fill>
            </x14:dxf>
          </x14:cfRule>
          <xm:sqref>D12:AE12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2000000}">
          <x14:formula1>
            <xm:f>'(admin) Drop Down Variables'!$D$18:$D$26</xm:f>
          </x14:formula1>
          <xm:sqref>U10:AE10</xm:sqref>
        </x14:dataValidation>
        <x14:dataValidation type="list" allowBlank="1" showInputMessage="1" showErrorMessage="1" xr:uid="{AF625005-DF05-4B6B-BF9A-C3719CB7E489}">
          <x14:formula1>
            <xm:f>'(admin) Drop Down Variables'!$D$27:$D$41</xm:f>
          </x14:formula1>
          <xm:sqref>E18:O18 E17:O17 E15:O15 E16:O16 E14:O14</xm:sqref>
        </x14:dataValidation>
        <x14:dataValidation type="list" allowBlank="1" showInputMessage="1" showErrorMessage="1" xr:uid="{36E22BD0-F31E-499C-86CB-773393073910}">
          <x14:formula1>
            <xm:f>'(admin) Drop Down Variables'!$D$45:$D$51</xm:f>
          </x14:formula1>
          <xm:sqref>P14:U14 P15:U15 P17:U17 P18:U18 P16:U16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outlinePr summaryBelow="0"/>
  </sheetPr>
  <dimension ref="A3:AG682"/>
  <sheetViews>
    <sheetView view="pageBreakPreview" zoomScaleNormal="100" zoomScaleSheetLayoutView="100" workbookViewId="0">
      <selection activeCell="B53" activeCellId="1" sqref="A34:AK60 B52:BM69"/>
    </sheetView>
  </sheetViews>
  <sheetFormatPr defaultColWidth="3.140625" defaultRowHeight="10.15" outlineLevelRow="3"/>
  <cols>
    <col min="1" max="2" width="3.140625" style="34"/>
    <col min="3" max="3" width="26.42578125" style="34" bestFit="1" customWidth="1"/>
    <col min="4" max="4" width="12.5703125" style="34" customWidth="1"/>
    <col min="5" max="5" width="10.5703125" style="34" customWidth="1"/>
    <col min="6" max="6" width="89" style="34" customWidth="1"/>
    <col min="7" max="7" width="29.28515625" style="34" customWidth="1"/>
    <col min="8" max="8" width="39.5703125" style="34" customWidth="1"/>
    <col min="9" max="9" width="3.28515625" style="34" customWidth="1"/>
    <col min="10" max="10" width="3.140625" style="34"/>
    <col min="11" max="11" width="3.7109375" style="34" customWidth="1"/>
    <col min="12" max="16384" width="3.140625" style="34"/>
  </cols>
  <sheetData>
    <row r="3" spans="2:15" ht="51.75" customHeight="1">
      <c r="B3" s="361" t="str">
        <f>IF('3. Registration'!U5="&lt; SELECT HERE! &gt;","",IF('3. Registration'!U5&lt;&gt;"Review of expired only product/s with no change since previous approval","Open the 'New Products, Review of Expired Product/s With New Models, Review of Existing Products With New Changes Made OR Review of Problematic Products in the Field' review sheet.","Open the 'Expired Only Product/s With No Change Since Previous Approval' review sheet."))</f>
        <v/>
      </c>
      <c r="C3" s="489"/>
      <c r="D3" s="489"/>
      <c r="E3" s="489"/>
      <c r="F3" s="489"/>
      <c r="G3" s="489"/>
      <c r="H3" s="489"/>
    </row>
    <row r="4" spans="2:15">
      <c r="G4" s="130"/>
      <c r="H4" s="130"/>
      <c r="I4" s="130"/>
    </row>
    <row r="5" spans="2:15" ht="13.15">
      <c r="F5" s="134"/>
      <c r="G5" s="130"/>
      <c r="H5" s="130"/>
      <c r="I5" s="130"/>
      <c r="L5" s="358"/>
    </row>
    <row r="6" spans="2:15" ht="15.6" collapsed="1">
      <c r="B6" s="96" t="str">
        <f>IF('3. Registration'!U5="&lt; SELECT HERE! &gt;",      "",
      IF('3. Registration'!U5&lt;&gt;'(admin) Drop Down Variables'!D12,      "Review Sheet for New Products, Review of Expired Product/s With New Models, Review of Existing Products With New Changes Made OR Review of Problematic Products in the Field",
      ""))</f>
        <v/>
      </c>
      <c r="F6" s="134"/>
      <c r="G6" s="130"/>
      <c r="H6" s="130"/>
      <c r="I6" s="130"/>
    </row>
    <row r="7" spans="2:15" ht="15.6" hidden="1" outlineLevel="1" collapsed="1">
      <c r="B7" s="698" t="s">
        <v>120</v>
      </c>
      <c r="C7" s="699"/>
      <c r="D7" s="699"/>
      <c r="E7" s="699"/>
      <c r="F7" s="699"/>
      <c r="G7" s="699"/>
      <c r="H7" s="699"/>
      <c r="I7" s="700"/>
      <c r="J7" s="699"/>
    </row>
    <row r="8" spans="2:15" ht="14.45" hidden="1" outlineLevel="2">
      <c r="B8" s="22"/>
      <c r="C8" s="24"/>
      <c r="D8" s="24"/>
      <c r="E8" s="24"/>
      <c r="F8" s="24"/>
      <c r="G8" s="24"/>
      <c r="H8" s="24"/>
      <c r="I8" s="24"/>
      <c r="J8" s="25"/>
    </row>
    <row r="9" spans="2:15" ht="14.45" hidden="1" outlineLevel="2">
      <c r="B9" s="23"/>
      <c r="C9" s="9"/>
      <c r="D9" s="9"/>
      <c r="E9" s="9"/>
      <c r="F9" s="9"/>
      <c r="G9" s="9"/>
      <c r="H9" s="9"/>
      <c r="I9" s="9"/>
      <c r="J9" s="26"/>
    </row>
    <row r="10" spans="2:15" ht="15" hidden="1" customHeight="1" outlineLevel="2">
      <c r="B10" s="23"/>
      <c r="C10" s="701" t="str">
        <f>'3. Registration'!D39</f>
        <v/>
      </c>
      <c r="D10" s="701"/>
      <c r="E10" s="701"/>
      <c r="F10" s="701"/>
      <c r="G10" s="701"/>
      <c r="H10" s="144"/>
      <c r="I10" s="9"/>
      <c r="J10" s="26"/>
    </row>
    <row r="11" spans="2:15" ht="14.45" hidden="1" outlineLevel="2">
      <c r="B11" s="23"/>
      <c r="C11" s="9"/>
      <c r="D11" s="9"/>
      <c r="E11" s="9"/>
      <c r="F11" s="9"/>
      <c r="G11" s="9"/>
      <c r="H11" s="9"/>
      <c r="I11" s="9"/>
      <c r="J11" s="26"/>
    </row>
    <row r="12" spans="2:15" ht="14.45" hidden="1" outlineLevel="2">
      <c r="B12" s="23"/>
      <c r="C12" s="9"/>
      <c r="D12" s="9"/>
      <c r="E12" s="145" t="s">
        <v>121</v>
      </c>
      <c r="F12" s="357" t="str">
        <f>'3. Registration'!L32</f>
        <v/>
      </c>
      <c r="G12"/>
      <c r="H12"/>
      <c r="I12" s="9"/>
      <c r="J12" s="26"/>
      <c r="K12" s="128"/>
      <c r="L12" s="128"/>
      <c r="M12" s="128"/>
      <c r="N12" s="128"/>
      <c r="O12" s="128"/>
    </row>
    <row r="13" spans="2:15" ht="15" hidden="1" customHeight="1" outlineLevel="2">
      <c r="B13" s="23"/>
      <c r="C13" s="9"/>
      <c r="D13"/>
      <c r="E13" s="145" t="s">
        <v>122</v>
      </c>
      <c r="F13" s="357" t="str">
        <f>'3. Registration'!L33</f>
        <v/>
      </c>
      <c r="G13"/>
      <c r="H13" s="9"/>
      <c r="I13" s="9"/>
      <c r="J13" s="26"/>
      <c r="K13" s="129"/>
    </row>
    <row r="14" spans="2:15" ht="15" hidden="1" customHeight="1" outlineLevel="2">
      <c r="B14" s="23"/>
      <c r="C14" s="9"/>
      <c r="D14"/>
      <c r="E14" s="145" t="s">
        <v>123</v>
      </c>
      <c r="F14" s="357" t="str">
        <f>'3. Registration'!L34</f>
        <v/>
      </c>
      <c r="G14"/>
      <c r="H14" s="9"/>
      <c r="I14" s="9"/>
      <c r="J14" s="26"/>
      <c r="K14" s="129"/>
    </row>
    <row r="15" spans="2:15" ht="15" hidden="1" customHeight="1" outlineLevel="2">
      <c r="B15" s="23"/>
      <c r="C15" s="9"/>
      <c r="D15"/>
      <c r="E15" s="145" t="s">
        <v>124</v>
      </c>
      <c r="F15" s="357" t="str">
        <f>'3. Registration'!L35</f>
        <v/>
      </c>
      <c r="G15"/>
      <c r="H15" s="9"/>
      <c r="I15" s="9"/>
      <c r="J15" s="26"/>
      <c r="K15" s="135"/>
    </row>
    <row r="16" spans="2:15" ht="15" hidden="1" customHeight="1" outlineLevel="2">
      <c r="B16" s="23"/>
      <c r="C16" s="9"/>
      <c r="D16"/>
      <c r="E16" s="145" t="s">
        <v>125</v>
      </c>
      <c r="F16" s="357" t="str">
        <f>'3. Registration'!L36</f>
        <v/>
      </c>
      <c r="G16"/>
      <c r="H16" s="9"/>
      <c r="I16" s="9"/>
      <c r="J16" s="26"/>
      <c r="K16" s="135"/>
    </row>
    <row r="17" spans="1:33" ht="14.45" hidden="1" outlineLevel="2">
      <c r="B17" s="23"/>
      <c r="C17" s="9"/>
      <c r="D17" s="9"/>
      <c r="E17" s="9"/>
      <c r="F17" s="9"/>
      <c r="G17" s="9"/>
      <c r="H17" s="9"/>
      <c r="I17" s="9"/>
      <c r="J17" s="26"/>
    </row>
    <row r="18" spans="1:33" ht="12.75" hidden="1" customHeight="1" outlineLevel="2">
      <c r="B18" s="23"/>
      <c r="C18" s="9"/>
      <c r="D18" s="9"/>
      <c r="E18" s="145" t="s">
        <v>126</v>
      </c>
      <c r="F18" s="546" t="str">
        <f>'3. Registration'!U5</f>
        <v>&lt; SELECT HERE! &gt;</v>
      </c>
      <c r="G18" s="489"/>
      <c r="H18" s="9"/>
      <c r="I18" s="9"/>
      <c r="J18" s="26"/>
      <c r="K18" s="136"/>
    </row>
    <row r="19" spans="1:33" ht="14.45" hidden="1" outlineLevel="2">
      <c r="B19" s="23"/>
      <c r="C19" s="9"/>
      <c r="D19" s="9"/>
      <c r="E19" s="9"/>
      <c r="F19" s="9"/>
      <c r="G19" s="9"/>
      <c r="H19" s="9"/>
      <c r="I19" s="9"/>
      <c r="J19" s="26"/>
    </row>
    <row r="20" spans="1:33" ht="14.45" hidden="1" outlineLevel="2">
      <c r="B20" s="23"/>
      <c r="C20" s="528" t="s">
        <v>127</v>
      </c>
      <c r="D20" s="678"/>
      <c r="E20" s="678"/>
      <c r="F20" s="252" t="s">
        <v>128</v>
      </c>
      <c r="G20"/>
      <c r="H20"/>
      <c r="I20" s="9"/>
      <c r="J20" s="26"/>
      <c r="K20" s="128"/>
    </row>
    <row r="21" spans="1:33" ht="14.45" hidden="1" outlineLevel="2">
      <c r="B21" s="23"/>
      <c r="C21" s="528" t="s">
        <v>129</v>
      </c>
      <c r="D21" s="678"/>
      <c r="E21" s="678"/>
      <c r="F21" s="252" t="s">
        <v>130</v>
      </c>
      <c r="G21"/>
      <c r="H21"/>
      <c r="I21" s="9"/>
      <c r="J21" s="26"/>
      <c r="K21" s="128"/>
    </row>
    <row r="22" spans="1:33" ht="14.45" hidden="1" outlineLevel="2">
      <c r="B22" s="23"/>
      <c r="C22" s="9"/>
      <c r="D22" s="9"/>
      <c r="E22" s="9"/>
      <c r="F22" s="9"/>
      <c r="G22" s="9"/>
      <c r="H22" s="9"/>
      <c r="I22" s="9"/>
      <c r="J22" s="26"/>
    </row>
    <row r="23" spans="1:33" s="15" customFormat="1" ht="15.75" hidden="1" customHeight="1" outlineLevel="2">
      <c r="A23" s="34"/>
      <c r="B23" s="23"/>
      <c r="C23" s="543" t="s">
        <v>131</v>
      </c>
      <c r="D23" s="544"/>
      <c r="E23" s="544"/>
      <c r="F23" s="544"/>
      <c r="G23" s="541" t="s">
        <v>132</v>
      </c>
      <c r="H23" s="542"/>
      <c r="I23" s="9"/>
      <c r="J23" s="26"/>
      <c r="K23" s="254"/>
      <c r="L23" s="254"/>
      <c r="M23" s="254"/>
      <c r="N23" s="254"/>
      <c r="O23" s="254"/>
      <c r="P23" s="254"/>
      <c r="Q23" s="254"/>
      <c r="R23" s="254"/>
      <c r="T23" s="253"/>
      <c r="U23" s="253"/>
      <c r="V23" s="253"/>
      <c r="W23" s="253"/>
      <c r="X23" s="253"/>
      <c r="Y23" s="253"/>
      <c r="Z23" s="253"/>
      <c r="AA23" s="253"/>
      <c r="AB23" s="253"/>
      <c r="AC23" s="253"/>
      <c r="AD23" s="253"/>
      <c r="AE23" s="253"/>
      <c r="AF23" s="253"/>
      <c r="AG23" s="253"/>
    </row>
    <row r="24" spans="1:33" s="45" customFormat="1" ht="13.5" hidden="1" customHeight="1" outlineLevel="2">
      <c r="B24" s="23"/>
      <c r="C24" s="76"/>
      <c r="D24" s="76"/>
      <c r="E24" s="76"/>
      <c r="F24" s="81"/>
      <c r="G24" s="131"/>
      <c r="H24" s="132"/>
      <c r="I24" s="73"/>
      <c r="J24" s="26"/>
    </row>
    <row r="25" spans="1:33" ht="15" hidden="1" customHeight="1" outlineLevel="2">
      <c r="B25" s="23"/>
      <c r="C25" s="9"/>
      <c r="D25" s="146"/>
      <c r="E25" s="146"/>
      <c r="F25" s="81" t="s">
        <v>133</v>
      </c>
      <c r="G25" s="133" t="str">
        <f>IF('3. Registration'!U5&lt;&gt;'(admin) Drop Down Variables'!D12,"&lt; enter time taken &gt;",IF(G375="&lt; enter time taken &gt;","&lt; enter time taken &gt;",0))</f>
        <v>&lt; enter time taken &gt;</v>
      </c>
      <c r="H25" s="73"/>
      <c r="I25" s="9"/>
      <c r="J25" s="26"/>
      <c r="K25" s="127"/>
    </row>
    <row r="26" spans="1:33" ht="15" hidden="1" customHeight="1" outlineLevel="2">
      <c r="B26" s="23"/>
      <c r="C26" s="359"/>
      <c r="D26" s="360"/>
      <c r="E26" s="360"/>
      <c r="F26" s="360"/>
      <c r="G26" s="360"/>
      <c r="H26" s="9"/>
      <c r="I26" s="9"/>
      <c r="J26" s="26"/>
    </row>
    <row r="27" spans="1:33" ht="15" hidden="1" customHeight="1" outlineLevel="2">
      <c r="B27" s="23"/>
      <c r="C27" s="9"/>
      <c r="D27" s="146"/>
      <c r="E27" s="146"/>
      <c r="F27" s="325" t="str">
        <f>IF(G25="&lt; enter time taken &gt;","",'6. RRR'!AA27&amp;" minutes must be entered on the KPI sheet as an ")</f>
        <v/>
      </c>
      <c r="G27" s="476" t="str">
        <f>IF(G25="&lt; enter time taken &gt;","","ESTABLISH NEXUS FOLDER activity.")</f>
        <v/>
      </c>
      <c r="H27" s="530"/>
      <c r="I27" s="9"/>
      <c r="J27" s="26"/>
      <c r="K27" s="127"/>
    </row>
    <row r="28" spans="1:33" ht="15" hidden="1" customHeight="1" outlineLevel="2">
      <c r="B28" s="23"/>
      <c r="C28" s="9"/>
      <c r="D28" s="146"/>
      <c r="E28" s="146"/>
      <c r="F28" s="321"/>
      <c r="G28" s="322"/>
      <c r="H28" s="323"/>
      <c r="I28" s="9"/>
      <c r="J28" s="26"/>
      <c r="K28" s="127"/>
    </row>
    <row r="29" spans="1:33" s="45" customFormat="1" ht="13.5" hidden="1" customHeight="1" outlineLevel="2">
      <c r="B29" s="23"/>
      <c r="C29" s="76"/>
      <c r="D29" s="76"/>
      <c r="E29" s="76"/>
      <c r="F29" s="81" t="s">
        <v>134</v>
      </c>
      <c r="G29" s="492" t="s">
        <v>135</v>
      </c>
      <c r="H29" s="534"/>
      <c r="I29" s="73"/>
      <c r="J29" s="26"/>
    </row>
    <row r="30" spans="1:33" ht="14.45" hidden="1" outlineLevel="2">
      <c r="B30" s="23"/>
      <c r="C30" s="9"/>
      <c r="D30" s="9"/>
      <c r="E30" s="9"/>
      <c r="F30" s="9"/>
      <c r="G30" s="9"/>
      <c r="H30" s="9"/>
      <c r="I30" s="9"/>
      <c r="J30" s="26"/>
    </row>
    <row r="31" spans="1:33" ht="14.45" hidden="1" outlineLevel="2">
      <c r="B31" s="23"/>
      <c r="C31" s="27"/>
      <c r="D31" s="27"/>
      <c r="E31" s="27"/>
      <c r="F31" s="27"/>
      <c r="G31" s="27"/>
      <c r="H31" s="27"/>
      <c r="I31" s="126"/>
      <c r="J31" s="26"/>
    </row>
    <row r="32" spans="1:33" ht="15" hidden="1" customHeight="1" outlineLevel="1" collapsed="1">
      <c r="B32" s="537" t="s">
        <v>136</v>
      </c>
      <c r="C32" s="702"/>
      <c r="D32" s="702"/>
      <c r="E32" s="702"/>
      <c r="F32" s="702"/>
      <c r="G32" s="702"/>
      <c r="H32" s="702"/>
      <c r="I32" s="703"/>
      <c r="J32" s="704"/>
      <c r="K32" s="562" t="s">
        <v>137</v>
      </c>
      <c r="L32" s="705"/>
      <c r="M32" s="705"/>
      <c r="N32" s="705"/>
      <c r="O32" s="705"/>
      <c r="P32" s="705"/>
      <c r="Q32" s="705"/>
      <c r="R32" s="705"/>
      <c r="S32" s="705"/>
      <c r="T32" s="705"/>
      <c r="U32" s="705"/>
      <c r="V32" s="705"/>
      <c r="W32" s="705"/>
      <c r="X32" s="705"/>
      <c r="Y32" s="705"/>
    </row>
    <row r="33" spans="2:25" ht="23.25" hidden="1" customHeight="1" outlineLevel="2">
      <c r="B33" s="23"/>
      <c r="C33" s="147" t="s">
        <v>138</v>
      </c>
      <c r="D33" s="147" t="s">
        <v>139</v>
      </c>
      <c r="E33" s="706" t="s">
        <v>140</v>
      </c>
      <c r="F33" s="707"/>
      <c r="G33" s="147" t="s">
        <v>141</v>
      </c>
      <c r="H33" s="708" t="s">
        <v>142</v>
      </c>
      <c r="I33" s="709"/>
      <c r="J33" s="26"/>
      <c r="K33" s="710"/>
      <c r="L33" s="705"/>
      <c r="M33" s="705"/>
      <c r="N33" s="705"/>
      <c r="O33" s="705"/>
      <c r="P33" s="705"/>
      <c r="Q33" s="705"/>
      <c r="R33" s="705"/>
      <c r="S33" s="705"/>
      <c r="T33" s="705"/>
      <c r="U33" s="705"/>
      <c r="V33" s="705"/>
      <c r="W33" s="705"/>
      <c r="X33" s="705"/>
      <c r="Y33" s="705"/>
    </row>
    <row r="34" spans="2:25" ht="12" hidden="1" customHeight="1" outlineLevel="2">
      <c r="B34" s="23"/>
      <c r="C34" s="148" t="str">
        <f>'4. Panel Member Index'!E14</f>
        <v>&lt;add relevant review person here&gt;</v>
      </c>
      <c r="D34" s="148" t="str">
        <f>'4. Panel Member Index'!P14</f>
        <v>(pick skill set)</v>
      </c>
      <c r="E34" s="149" t="s">
        <v>143</v>
      </c>
      <c r="F34" s="150" t="s">
        <v>144</v>
      </c>
      <c r="G34" s="151" t="s">
        <v>145</v>
      </c>
      <c r="H34" s="531"/>
      <c r="I34" s="532"/>
      <c r="J34" s="26"/>
    </row>
    <row r="35" spans="2:25" ht="11.25" hidden="1" customHeight="1" outlineLevel="2">
      <c r="B35" s="23"/>
      <c r="C35" s="553" t="str">
        <f>IF(AND('3. Registration'!U5&lt;&gt;'(admin) Drop Down Variables'!D11,C34='(admin) Drop Down Variables'!D28),"Andrew, please make sure you seek feedback from Regional officers relating to this product reappraisal.","")</f>
        <v/>
      </c>
      <c r="D35" s="152"/>
      <c r="E35" s="153" t="s">
        <v>143</v>
      </c>
      <c r="F35" s="154" t="s">
        <v>144</v>
      </c>
      <c r="G35" s="155"/>
      <c r="H35" s="533"/>
      <c r="I35" s="532"/>
      <c r="J35" s="26"/>
    </row>
    <row r="36" spans="2:25" ht="11.25" hidden="1" customHeight="1" outlineLevel="2">
      <c r="B36" s="23"/>
      <c r="C36" s="554"/>
      <c r="D36" s="152"/>
      <c r="E36" s="153" t="s">
        <v>143</v>
      </c>
      <c r="F36" s="154" t="s">
        <v>144</v>
      </c>
      <c r="G36" s="155"/>
      <c r="H36" s="533"/>
      <c r="I36" s="532"/>
      <c r="J36" s="26"/>
    </row>
    <row r="37" spans="2:25" ht="11.25" hidden="1" customHeight="1" outlineLevel="2">
      <c r="B37" s="23"/>
      <c r="C37" s="554"/>
      <c r="D37" s="152"/>
      <c r="E37" s="153" t="s">
        <v>143</v>
      </c>
      <c r="F37" s="154" t="s">
        <v>144</v>
      </c>
      <c r="G37" s="155"/>
      <c r="H37" s="533"/>
      <c r="I37" s="532"/>
      <c r="J37" s="26"/>
    </row>
    <row r="38" spans="2:25" ht="11.25" hidden="1" customHeight="1" outlineLevel="2">
      <c r="B38" s="23"/>
      <c r="C38" s="554"/>
      <c r="D38" s="152"/>
      <c r="E38" s="153" t="s">
        <v>143</v>
      </c>
      <c r="F38" s="154" t="s">
        <v>144</v>
      </c>
      <c r="G38" s="155"/>
      <c r="H38" s="533"/>
      <c r="I38" s="532"/>
      <c r="J38" s="26"/>
    </row>
    <row r="39" spans="2:25" ht="11.25" hidden="1" customHeight="1" outlineLevel="2">
      <c r="B39" s="23"/>
      <c r="C39" s="554"/>
      <c r="D39" s="152"/>
      <c r="E39" s="153" t="s">
        <v>143</v>
      </c>
      <c r="F39" s="154" t="s">
        <v>144</v>
      </c>
      <c r="G39" s="155"/>
      <c r="H39" s="533"/>
      <c r="I39" s="532"/>
      <c r="J39" s="26"/>
    </row>
    <row r="40" spans="2:25" ht="11.25" hidden="1" customHeight="1" outlineLevel="2">
      <c r="B40" s="23"/>
      <c r="C40" s="554"/>
      <c r="D40" s="152"/>
      <c r="E40" s="153" t="s">
        <v>143</v>
      </c>
      <c r="F40" s="154" t="s">
        <v>144</v>
      </c>
      <c r="G40" s="155"/>
      <c r="H40" s="533"/>
      <c r="I40" s="532"/>
      <c r="J40" s="26"/>
      <c r="K40" s="711"/>
      <c r="L40" s="711"/>
      <c r="M40" s="711"/>
      <c r="N40" s="711"/>
      <c r="O40" s="711"/>
      <c r="P40" s="711"/>
      <c r="Q40" s="711"/>
      <c r="R40" s="711"/>
    </row>
    <row r="41" spans="2:25" ht="11.25" hidden="1" customHeight="1" outlineLevel="2">
      <c r="B41" s="23"/>
      <c r="C41" s="554"/>
      <c r="D41" s="152"/>
      <c r="E41" s="153" t="s">
        <v>143</v>
      </c>
      <c r="F41" s="154" t="s">
        <v>144</v>
      </c>
      <c r="G41" s="155"/>
      <c r="H41" s="533"/>
      <c r="I41" s="532"/>
      <c r="J41" s="26"/>
      <c r="K41" s="564"/>
      <c r="L41" s="565"/>
      <c r="M41" s="565"/>
      <c r="N41" s="565"/>
      <c r="O41" s="565"/>
      <c r="P41" s="565"/>
      <c r="Q41" s="565"/>
      <c r="R41" s="565"/>
      <c r="S41" s="700"/>
      <c r="T41" s="700"/>
      <c r="U41" s="700"/>
    </row>
    <row r="42" spans="2:25" ht="11.25" hidden="1" customHeight="1" outlineLevel="2">
      <c r="B42" s="23"/>
      <c r="C42" s="555"/>
      <c r="D42" s="156"/>
      <c r="E42" s="157" t="s">
        <v>143</v>
      </c>
      <c r="F42" s="158" t="s">
        <v>144</v>
      </c>
      <c r="G42" s="159"/>
      <c r="H42" s="533"/>
      <c r="I42" s="532"/>
      <c r="J42" s="26"/>
      <c r="K42" s="566"/>
      <c r="L42" s="565"/>
      <c r="M42" s="565"/>
      <c r="N42" s="565"/>
      <c r="O42" s="565"/>
      <c r="P42" s="565"/>
      <c r="Q42" s="565"/>
      <c r="R42" s="565"/>
      <c r="S42" s="700"/>
      <c r="T42" s="700"/>
      <c r="U42" s="700"/>
    </row>
    <row r="43" spans="2:25" ht="11.25" hidden="1" customHeight="1" outlineLevel="2">
      <c r="B43" s="23"/>
      <c r="C43" s="160" t="str">
        <f>'4. Panel Member Index'!E15</f>
        <v>&lt;add relevant review person here&gt;</v>
      </c>
      <c r="D43" s="160" t="str">
        <f>'4. Panel Member Index'!P15</f>
        <v>(pick skill set)</v>
      </c>
      <c r="E43" s="149" t="s">
        <v>143</v>
      </c>
      <c r="F43" s="150" t="s">
        <v>144</v>
      </c>
      <c r="G43" s="151" t="s">
        <v>145</v>
      </c>
      <c r="H43" s="531"/>
      <c r="I43" s="532"/>
      <c r="J43" s="26"/>
      <c r="K43" s="134"/>
      <c r="L43" s="134"/>
      <c r="M43" s="134"/>
      <c r="N43" s="134"/>
      <c r="O43" s="134"/>
      <c r="P43" s="134"/>
      <c r="Q43" s="134"/>
      <c r="R43" s="134"/>
    </row>
    <row r="44" spans="2:25" ht="11.25" hidden="1" customHeight="1" outlineLevel="2">
      <c r="B44" s="23"/>
      <c r="C44" s="553" t="str">
        <f>IF(AND('3. Registration'!U5&lt;&gt;'(admin) Drop Down Variables'!D11,C43='(admin) Drop Down Variables'!D28),"Andrew, please make sure you seek feedback from Regional officers relating to this product reappraisal.","")</f>
        <v/>
      </c>
      <c r="D44" s="152"/>
      <c r="E44" s="153" t="s">
        <v>143</v>
      </c>
      <c r="F44" s="154" t="s">
        <v>144</v>
      </c>
      <c r="G44" s="155"/>
      <c r="H44" s="533"/>
      <c r="I44" s="532"/>
      <c r="J44" s="26"/>
      <c r="K44" s="134"/>
      <c r="L44" s="134"/>
      <c r="M44" s="134"/>
      <c r="N44" s="134"/>
      <c r="O44" s="134"/>
      <c r="P44" s="134"/>
      <c r="Q44" s="134"/>
      <c r="R44" s="134"/>
    </row>
    <row r="45" spans="2:25" ht="11.25" hidden="1" customHeight="1" outlineLevel="2">
      <c r="B45" s="23"/>
      <c r="C45" s="554"/>
      <c r="D45" s="152"/>
      <c r="E45" s="153" t="s">
        <v>143</v>
      </c>
      <c r="F45" s="154" t="s">
        <v>144</v>
      </c>
      <c r="G45" s="155"/>
      <c r="H45" s="533"/>
      <c r="I45" s="532"/>
      <c r="J45" s="26"/>
      <c r="K45" s="134"/>
      <c r="L45" s="134"/>
      <c r="M45" s="134"/>
      <c r="N45" s="134"/>
      <c r="O45" s="134"/>
      <c r="P45" s="134"/>
      <c r="Q45" s="134"/>
      <c r="R45" s="134"/>
    </row>
    <row r="46" spans="2:25" ht="11.25" hidden="1" customHeight="1" outlineLevel="2">
      <c r="B46" s="23"/>
      <c r="C46" s="554"/>
      <c r="D46" s="152"/>
      <c r="E46" s="153" t="s">
        <v>143</v>
      </c>
      <c r="F46" s="154" t="s">
        <v>144</v>
      </c>
      <c r="G46" s="155"/>
      <c r="H46" s="533"/>
      <c r="I46" s="532"/>
      <c r="J46" s="26"/>
      <c r="K46" s="134"/>
      <c r="L46" s="134"/>
      <c r="M46" s="134"/>
      <c r="N46" s="134"/>
      <c r="O46" s="134"/>
      <c r="P46" s="134"/>
      <c r="Q46" s="134"/>
      <c r="R46" s="134"/>
    </row>
    <row r="47" spans="2:25" ht="11.25" hidden="1" customHeight="1" outlineLevel="2">
      <c r="B47" s="23"/>
      <c r="C47" s="554"/>
      <c r="D47" s="152"/>
      <c r="E47" s="153" t="s">
        <v>143</v>
      </c>
      <c r="F47" s="154" t="s">
        <v>144</v>
      </c>
      <c r="G47" s="155"/>
      <c r="H47" s="533"/>
      <c r="I47" s="532"/>
      <c r="J47" s="26"/>
      <c r="K47" s="134"/>
      <c r="L47" s="134"/>
      <c r="M47" s="134"/>
      <c r="N47" s="134"/>
      <c r="O47" s="134"/>
      <c r="P47" s="134"/>
      <c r="Q47" s="134"/>
      <c r="R47" s="134"/>
    </row>
    <row r="48" spans="2:25" ht="11.25" hidden="1" customHeight="1" outlineLevel="2">
      <c r="B48" s="23"/>
      <c r="C48" s="554"/>
      <c r="D48" s="152"/>
      <c r="E48" s="153" t="s">
        <v>143</v>
      </c>
      <c r="F48" s="154" t="s">
        <v>144</v>
      </c>
      <c r="G48" s="155"/>
      <c r="H48" s="533"/>
      <c r="I48" s="532"/>
      <c r="J48" s="26"/>
      <c r="K48" s="134"/>
      <c r="L48" s="134"/>
      <c r="M48" s="134"/>
      <c r="N48" s="134"/>
      <c r="O48" s="134"/>
      <c r="P48" s="134"/>
      <c r="Q48" s="134"/>
      <c r="R48" s="134"/>
    </row>
    <row r="49" spans="2:21" ht="11.25" hidden="1" customHeight="1" outlineLevel="2">
      <c r="B49" s="23"/>
      <c r="C49" s="554"/>
      <c r="D49" s="152"/>
      <c r="E49" s="153" t="s">
        <v>143</v>
      </c>
      <c r="F49" s="154" t="s">
        <v>144</v>
      </c>
      <c r="G49" s="155"/>
      <c r="H49" s="533"/>
      <c r="I49" s="532"/>
      <c r="J49" s="26"/>
      <c r="K49" s="711"/>
      <c r="L49" s="711"/>
      <c r="M49" s="711"/>
      <c r="N49" s="711"/>
      <c r="O49" s="711"/>
      <c r="P49" s="711"/>
      <c r="Q49" s="711"/>
      <c r="R49" s="711"/>
    </row>
    <row r="50" spans="2:21" ht="11.25" hidden="1" customHeight="1" outlineLevel="2">
      <c r="B50" s="23"/>
      <c r="C50" s="554"/>
      <c r="D50" s="152"/>
      <c r="E50" s="153" t="s">
        <v>143</v>
      </c>
      <c r="F50" s="154" t="s">
        <v>144</v>
      </c>
      <c r="G50" s="155"/>
      <c r="H50" s="533"/>
      <c r="I50" s="532"/>
      <c r="J50" s="26"/>
      <c r="K50" s="564"/>
      <c r="L50" s="565"/>
      <c r="M50" s="565"/>
      <c r="N50" s="565"/>
      <c r="O50" s="565"/>
      <c r="P50" s="565"/>
      <c r="Q50" s="565"/>
      <c r="R50" s="565"/>
      <c r="S50" s="700"/>
      <c r="T50" s="700"/>
      <c r="U50" s="700"/>
    </row>
    <row r="51" spans="2:21" ht="11.25" hidden="1" customHeight="1" outlineLevel="2">
      <c r="B51" s="23"/>
      <c r="C51" s="555"/>
      <c r="D51" s="156"/>
      <c r="E51" s="157" t="s">
        <v>143</v>
      </c>
      <c r="F51" s="158" t="s">
        <v>144</v>
      </c>
      <c r="G51" s="159"/>
      <c r="H51" s="533"/>
      <c r="I51" s="532"/>
      <c r="J51" s="26"/>
      <c r="K51" s="566"/>
      <c r="L51" s="565"/>
      <c r="M51" s="565"/>
      <c r="N51" s="565"/>
      <c r="O51" s="565"/>
      <c r="P51" s="565"/>
      <c r="Q51" s="565"/>
      <c r="R51" s="565"/>
      <c r="S51" s="700"/>
      <c r="T51" s="700"/>
      <c r="U51" s="700"/>
    </row>
    <row r="52" spans="2:21" ht="11.25" hidden="1" customHeight="1" outlineLevel="2">
      <c r="B52" s="23"/>
      <c r="C52" s="160" t="str">
        <f>'4. Panel Member Index'!E16</f>
        <v>&lt;add relevant review person here&gt;</v>
      </c>
      <c r="D52" s="160" t="str">
        <f>'4. Panel Member Index'!P16</f>
        <v>(pick skill set)</v>
      </c>
      <c r="E52" s="149" t="s">
        <v>143</v>
      </c>
      <c r="F52" s="150" t="s">
        <v>144</v>
      </c>
      <c r="G52" s="151" t="s">
        <v>145</v>
      </c>
      <c r="H52" s="531"/>
      <c r="I52" s="532"/>
      <c r="J52" s="26"/>
      <c r="K52" s="134"/>
      <c r="L52" s="134"/>
      <c r="M52" s="134"/>
      <c r="N52" s="134"/>
      <c r="O52" s="134"/>
      <c r="P52" s="134"/>
      <c r="Q52" s="134"/>
      <c r="R52" s="134"/>
    </row>
    <row r="53" spans="2:21" ht="11.25" hidden="1" customHeight="1" outlineLevel="2">
      <c r="B53" s="23"/>
      <c r="C53" s="553" t="str">
        <f>IF(AND('3. Registration'!U5&lt;&gt;'(admin) Drop Down Variables'!D11,C52='(admin) Drop Down Variables'!D28),"Andrew, please make sure you seek feedback from Regional officers relating to this product reappraisal.","")</f>
        <v/>
      </c>
      <c r="D53" s="152"/>
      <c r="E53" s="153" t="s">
        <v>143</v>
      </c>
      <c r="F53" s="154" t="s">
        <v>144</v>
      </c>
      <c r="G53" s="155"/>
      <c r="H53" s="533"/>
      <c r="I53" s="532"/>
      <c r="J53" s="26"/>
      <c r="K53" s="134"/>
      <c r="L53" s="134"/>
      <c r="M53" s="134"/>
      <c r="N53" s="134"/>
      <c r="O53" s="134"/>
      <c r="P53" s="134"/>
      <c r="Q53" s="134"/>
      <c r="R53" s="134"/>
    </row>
    <row r="54" spans="2:21" ht="11.25" hidden="1" customHeight="1" outlineLevel="2">
      <c r="B54" s="23"/>
      <c r="C54" s="554"/>
      <c r="D54" s="152"/>
      <c r="E54" s="153" t="s">
        <v>143</v>
      </c>
      <c r="F54" s="154" t="s">
        <v>144</v>
      </c>
      <c r="G54" s="155"/>
      <c r="H54" s="533"/>
      <c r="I54" s="532"/>
      <c r="J54" s="26"/>
      <c r="K54" s="134"/>
      <c r="L54" s="134"/>
      <c r="M54" s="134"/>
      <c r="N54" s="134"/>
      <c r="O54" s="134"/>
      <c r="P54" s="134"/>
      <c r="Q54" s="134"/>
      <c r="R54" s="134"/>
    </row>
    <row r="55" spans="2:21" ht="11.25" hidden="1" customHeight="1" outlineLevel="2">
      <c r="B55" s="23"/>
      <c r="C55" s="554"/>
      <c r="D55" s="152"/>
      <c r="E55" s="153" t="s">
        <v>143</v>
      </c>
      <c r="F55" s="154" t="s">
        <v>144</v>
      </c>
      <c r="G55" s="155"/>
      <c r="H55" s="533"/>
      <c r="I55" s="532"/>
      <c r="J55" s="26"/>
      <c r="K55" s="134"/>
      <c r="L55" s="134"/>
      <c r="M55" s="134"/>
      <c r="N55" s="134"/>
      <c r="O55" s="134"/>
      <c r="P55" s="134"/>
      <c r="Q55" s="134"/>
      <c r="R55" s="134"/>
    </row>
    <row r="56" spans="2:21" ht="11.25" hidden="1" customHeight="1" outlineLevel="2">
      <c r="B56" s="23"/>
      <c r="C56" s="554"/>
      <c r="D56" s="152"/>
      <c r="E56" s="153" t="s">
        <v>143</v>
      </c>
      <c r="F56" s="154" t="s">
        <v>144</v>
      </c>
      <c r="G56" s="155"/>
      <c r="H56" s="533"/>
      <c r="I56" s="532"/>
      <c r="J56" s="26"/>
      <c r="K56" s="134"/>
      <c r="L56" s="134"/>
      <c r="M56" s="134"/>
      <c r="N56" s="134"/>
      <c r="O56" s="134"/>
      <c r="P56" s="134"/>
      <c r="Q56" s="134"/>
      <c r="R56" s="134"/>
    </row>
    <row r="57" spans="2:21" ht="11.25" hidden="1" customHeight="1" outlineLevel="2">
      <c r="B57" s="23"/>
      <c r="C57" s="554"/>
      <c r="D57" s="152"/>
      <c r="E57" s="153" t="s">
        <v>143</v>
      </c>
      <c r="F57" s="154" t="s">
        <v>144</v>
      </c>
      <c r="G57" s="155"/>
      <c r="H57" s="533"/>
      <c r="I57" s="532"/>
      <c r="J57" s="26"/>
      <c r="K57" s="134"/>
      <c r="L57" s="134"/>
      <c r="M57" s="134"/>
      <c r="N57" s="134"/>
      <c r="O57" s="134"/>
      <c r="P57" s="134"/>
      <c r="Q57" s="134"/>
      <c r="R57" s="134"/>
    </row>
    <row r="58" spans="2:21" ht="11.25" hidden="1" customHeight="1" outlineLevel="2">
      <c r="B58" s="23"/>
      <c r="C58" s="554"/>
      <c r="D58" s="152"/>
      <c r="E58" s="153" t="s">
        <v>143</v>
      </c>
      <c r="F58" s="154" t="s">
        <v>144</v>
      </c>
      <c r="G58" s="155"/>
      <c r="H58" s="533"/>
      <c r="I58" s="532"/>
      <c r="J58" s="26"/>
      <c r="K58" s="711"/>
      <c r="L58" s="711"/>
      <c r="M58" s="711"/>
      <c r="N58" s="711"/>
      <c r="O58" s="711"/>
      <c r="P58" s="711"/>
      <c r="Q58" s="711"/>
      <c r="R58" s="711"/>
    </row>
    <row r="59" spans="2:21" ht="11.25" hidden="1" customHeight="1" outlineLevel="2">
      <c r="B59" s="23"/>
      <c r="C59" s="554"/>
      <c r="D59" s="152"/>
      <c r="E59" s="153" t="s">
        <v>143</v>
      </c>
      <c r="F59" s="154" t="s">
        <v>144</v>
      </c>
      <c r="G59" s="155"/>
      <c r="H59" s="533"/>
      <c r="I59" s="532"/>
      <c r="J59" s="26"/>
      <c r="K59" s="564"/>
      <c r="L59" s="565"/>
      <c r="M59" s="565"/>
      <c r="N59" s="565"/>
      <c r="O59" s="565"/>
      <c r="P59" s="565"/>
      <c r="Q59" s="565"/>
      <c r="R59" s="565"/>
      <c r="S59" s="700"/>
      <c r="T59" s="700"/>
      <c r="U59" s="700"/>
    </row>
    <row r="60" spans="2:21" ht="11.25" hidden="1" customHeight="1" outlineLevel="2">
      <c r="B60" s="23"/>
      <c r="C60" s="555"/>
      <c r="D60" s="156"/>
      <c r="E60" s="157" t="s">
        <v>143</v>
      </c>
      <c r="F60" s="158" t="s">
        <v>144</v>
      </c>
      <c r="G60" s="159"/>
      <c r="H60" s="533"/>
      <c r="I60" s="532"/>
      <c r="J60" s="26"/>
      <c r="K60" s="566"/>
      <c r="L60" s="565"/>
      <c r="M60" s="565"/>
      <c r="N60" s="565"/>
      <c r="O60" s="565"/>
      <c r="P60" s="565"/>
      <c r="Q60" s="565"/>
      <c r="R60" s="565"/>
      <c r="S60" s="700"/>
      <c r="T60" s="700"/>
      <c r="U60" s="700"/>
    </row>
    <row r="61" spans="2:21" ht="11.25" hidden="1" customHeight="1" outlineLevel="2">
      <c r="B61" s="23"/>
      <c r="C61" s="160" t="str">
        <f>'4. Panel Member Index'!E17</f>
        <v>&lt;add relevant review person here&gt;</v>
      </c>
      <c r="D61" s="160" t="str">
        <f>'4. Panel Member Index'!P17</f>
        <v>(pick skill set)</v>
      </c>
      <c r="E61" s="149" t="s">
        <v>143</v>
      </c>
      <c r="F61" s="150" t="s">
        <v>144</v>
      </c>
      <c r="G61" s="151" t="s">
        <v>145</v>
      </c>
      <c r="H61" s="531"/>
      <c r="I61" s="532"/>
      <c r="J61" s="26"/>
      <c r="K61" s="134"/>
      <c r="L61" s="134"/>
      <c r="M61" s="134"/>
      <c r="N61" s="134"/>
      <c r="O61" s="134"/>
      <c r="P61" s="134"/>
      <c r="Q61" s="134"/>
      <c r="R61" s="134"/>
    </row>
    <row r="62" spans="2:21" ht="11.25" hidden="1" customHeight="1" outlineLevel="2">
      <c r="B62" s="23"/>
      <c r="C62" s="553" t="str">
        <f>IF(AND('3. Registration'!U5&lt;&gt;'(admin) Drop Down Variables'!D11,C61='(admin) Drop Down Variables'!D28),"Andrew, please make sure you seek feedback from Regional officers relating to this product reappraisal.","")</f>
        <v/>
      </c>
      <c r="D62" s="152"/>
      <c r="E62" s="153" t="s">
        <v>143</v>
      </c>
      <c r="F62" s="154" t="s">
        <v>144</v>
      </c>
      <c r="G62" s="155"/>
      <c r="H62" s="533"/>
      <c r="I62" s="532"/>
      <c r="J62" s="26"/>
      <c r="K62" s="134"/>
      <c r="L62" s="134"/>
      <c r="M62" s="134"/>
      <c r="N62" s="134"/>
      <c r="O62" s="134"/>
      <c r="P62" s="134"/>
      <c r="Q62" s="134"/>
      <c r="R62" s="134"/>
    </row>
    <row r="63" spans="2:21" ht="11.25" hidden="1" customHeight="1" outlineLevel="2">
      <c r="B63" s="23"/>
      <c r="C63" s="554"/>
      <c r="D63" s="152"/>
      <c r="E63" s="153" t="s">
        <v>143</v>
      </c>
      <c r="F63" s="154" t="s">
        <v>144</v>
      </c>
      <c r="G63" s="155"/>
      <c r="H63" s="533"/>
      <c r="I63" s="532"/>
      <c r="J63" s="26"/>
      <c r="K63" s="134"/>
      <c r="L63" s="134"/>
      <c r="M63" s="134"/>
      <c r="N63" s="134"/>
      <c r="O63" s="134"/>
      <c r="P63" s="134"/>
      <c r="Q63" s="134"/>
      <c r="R63" s="134"/>
    </row>
    <row r="64" spans="2:21" ht="11.25" hidden="1" customHeight="1" outlineLevel="2">
      <c r="B64" s="23"/>
      <c r="C64" s="554"/>
      <c r="D64" s="152"/>
      <c r="E64" s="153" t="s">
        <v>143</v>
      </c>
      <c r="F64" s="154" t="s">
        <v>144</v>
      </c>
      <c r="G64" s="155"/>
      <c r="H64" s="533"/>
      <c r="I64" s="532"/>
      <c r="J64" s="26"/>
      <c r="K64" s="134"/>
      <c r="L64" s="134"/>
      <c r="M64" s="134"/>
      <c r="N64" s="134"/>
      <c r="O64" s="134"/>
      <c r="P64" s="134"/>
      <c r="Q64" s="134"/>
      <c r="R64" s="134"/>
    </row>
    <row r="65" spans="2:21" ht="11.25" hidden="1" customHeight="1" outlineLevel="2">
      <c r="B65" s="23"/>
      <c r="C65" s="554"/>
      <c r="D65" s="152"/>
      <c r="E65" s="153" t="s">
        <v>143</v>
      </c>
      <c r="F65" s="154" t="s">
        <v>144</v>
      </c>
      <c r="G65" s="155"/>
      <c r="H65" s="533"/>
      <c r="I65" s="532"/>
      <c r="J65" s="26"/>
      <c r="K65" s="134"/>
      <c r="L65" s="134"/>
      <c r="M65" s="134"/>
      <c r="N65" s="134"/>
      <c r="O65" s="134"/>
      <c r="P65" s="134"/>
      <c r="Q65" s="134"/>
      <c r="R65" s="134"/>
    </row>
    <row r="66" spans="2:21" ht="11.25" hidden="1" customHeight="1" outlineLevel="2">
      <c r="B66" s="23"/>
      <c r="C66" s="554"/>
      <c r="D66" s="152"/>
      <c r="E66" s="153" t="s">
        <v>143</v>
      </c>
      <c r="F66" s="154" t="s">
        <v>144</v>
      </c>
      <c r="G66" s="155"/>
      <c r="H66" s="533"/>
      <c r="I66" s="532"/>
      <c r="J66" s="26"/>
      <c r="K66" s="134"/>
      <c r="L66" s="134"/>
      <c r="M66" s="134"/>
      <c r="N66" s="134"/>
      <c r="O66" s="134"/>
      <c r="P66" s="134"/>
      <c r="Q66" s="134"/>
      <c r="R66" s="134"/>
    </row>
    <row r="67" spans="2:21" ht="11.25" hidden="1" customHeight="1" outlineLevel="2">
      <c r="B67" s="23"/>
      <c r="C67" s="554"/>
      <c r="D67" s="152"/>
      <c r="E67" s="153" t="s">
        <v>143</v>
      </c>
      <c r="F67" s="154" t="s">
        <v>144</v>
      </c>
      <c r="G67" s="155"/>
      <c r="H67" s="533"/>
      <c r="I67" s="532"/>
      <c r="J67" s="26"/>
      <c r="K67" s="711"/>
      <c r="L67" s="711"/>
      <c r="M67" s="711"/>
      <c r="N67" s="711"/>
      <c r="O67" s="711"/>
      <c r="P67" s="711"/>
      <c r="Q67" s="711"/>
      <c r="R67" s="711"/>
    </row>
    <row r="68" spans="2:21" ht="11.25" hidden="1" customHeight="1" outlineLevel="2">
      <c r="B68" s="23"/>
      <c r="C68" s="554"/>
      <c r="D68" s="152"/>
      <c r="E68" s="153" t="s">
        <v>143</v>
      </c>
      <c r="F68" s="154" t="s">
        <v>144</v>
      </c>
      <c r="G68" s="155"/>
      <c r="H68" s="533"/>
      <c r="I68" s="532"/>
      <c r="J68" s="26"/>
      <c r="K68" s="564"/>
      <c r="L68" s="565"/>
      <c r="M68" s="565"/>
      <c r="N68" s="565"/>
      <c r="O68" s="565"/>
      <c r="P68" s="565"/>
      <c r="Q68" s="565"/>
      <c r="R68" s="565"/>
      <c r="S68" s="700"/>
      <c r="T68" s="700"/>
      <c r="U68" s="700"/>
    </row>
    <row r="69" spans="2:21" ht="11.25" hidden="1" customHeight="1" outlineLevel="2">
      <c r="B69" s="23"/>
      <c r="C69" s="555"/>
      <c r="D69" s="156"/>
      <c r="E69" s="157" t="s">
        <v>143</v>
      </c>
      <c r="F69" s="158" t="s">
        <v>144</v>
      </c>
      <c r="G69" s="159"/>
      <c r="H69" s="533"/>
      <c r="I69" s="532"/>
      <c r="J69" s="26"/>
      <c r="K69" s="566"/>
      <c r="L69" s="565"/>
      <c r="M69" s="565"/>
      <c r="N69" s="565"/>
      <c r="O69" s="565"/>
      <c r="P69" s="565"/>
      <c r="Q69" s="565"/>
      <c r="R69" s="565"/>
      <c r="S69" s="700"/>
      <c r="T69" s="700"/>
      <c r="U69" s="700"/>
    </row>
    <row r="70" spans="2:21" ht="11.25" hidden="1" customHeight="1" outlineLevel="2">
      <c r="B70" s="23"/>
      <c r="C70" s="160" t="str">
        <f>'4. Panel Member Index'!E18</f>
        <v>&lt;add relevant review person here&gt;</v>
      </c>
      <c r="D70" s="160" t="str">
        <f>'4. Panel Member Index'!P18</f>
        <v>(pick skill set)</v>
      </c>
      <c r="E70" s="149" t="s">
        <v>143</v>
      </c>
      <c r="F70" s="150" t="s">
        <v>144</v>
      </c>
      <c r="G70" s="151" t="s">
        <v>145</v>
      </c>
      <c r="H70" s="531"/>
      <c r="I70" s="532"/>
      <c r="J70" s="26"/>
      <c r="K70" s="134"/>
      <c r="L70" s="134"/>
      <c r="M70" s="134"/>
      <c r="N70" s="134"/>
      <c r="O70" s="134"/>
      <c r="P70" s="134"/>
      <c r="Q70" s="134"/>
      <c r="R70" s="134"/>
    </row>
    <row r="71" spans="2:21" ht="11.25" hidden="1" customHeight="1" outlineLevel="2">
      <c r="B71" s="23"/>
      <c r="C71" s="553" t="str">
        <f>IF(AND('3. Registration'!U5&lt;&gt;'(admin) Drop Down Variables'!D11,C70='(admin) Drop Down Variables'!D28),"Andrew, please make sure you seek feedback from Regional officers relating to this product reappraisal.","")</f>
        <v/>
      </c>
      <c r="D71" s="152"/>
      <c r="E71" s="153" t="s">
        <v>143</v>
      </c>
      <c r="F71" s="154" t="s">
        <v>144</v>
      </c>
      <c r="G71" s="155"/>
      <c r="H71" s="533"/>
      <c r="I71" s="532"/>
      <c r="J71" s="26"/>
      <c r="K71" s="134"/>
      <c r="L71" s="134"/>
      <c r="M71" s="134"/>
      <c r="N71" s="134"/>
      <c r="O71" s="134"/>
      <c r="P71" s="134"/>
      <c r="Q71" s="134"/>
      <c r="R71" s="134"/>
    </row>
    <row r="72" spans="2:21" ht="11.25" hidden="1" customHeight="1" outlineLevel="2">
      <c r="B72" s="23"/>
      <c r="C72" s="554"/>
      <c r="D72" s="152"/>
      <c r="E72" s="153" t="s">
        <v>143</v>
      </c>
      <c r="F72" s="154" t="s">
        <v>144</v>
      </c>
      <c r="G72" s="155"/>
      <c r="H72" s="533"/>
      <c r="I72" s="532"/>
      <c r="J72" s="26"/>
      <c r="K72" s="134"/>
      <c r="L72" s="134"/>
      <c r="M72" s="134"/>
      <c r="N72" s="134"/>
      <c r="O72" s="134"/>
      <c r="P72" s="134"/>
      <c r="Q72" s="134"/>
      <c r="R72" s="134"/>
    </row>
    <row r="73" spans="2:21" ht="11.25" hidden="1" customHeight="1" outlineLevel="2">
      <c r="B73" s="23"/>
      <c r="C73" s="554"/>
      <c r="D73" s="152"/>
      <c r="E73" s="153" t="s">
        <v>143</v>
      </c>
      <c r="F73" s="154" t="s">
        <v>144</v>
      </c>
      <c r="G73" s="155"/>
      <c r="H73" s="533"/>
      <c r="I73" s="532"/>
      <c r="J73" s="26"/>
      <c r="K73" s="134"/>
      <c r="L73" s="134"/>
      <c r="M73" s="134"/>
      <c r="N73" s="134"/>
      <c r="O73" s="134"/>
      <c r="P73" s="134"/>
      <c r="Q73" s="134"/>
      <c r="R73" s="134"/>
    </row>
    <row r="74" spans="2:21" ht="11.25" hidden="1" customHeight="1" outlineLevel="2">
      <c r="B74" s="23"/>
      <c r="C74" s="554"/>
      <c r="D74" s="152"/>
      <c r="E74" s="153" t="s">
        <v>143</v>
      </c>
      <c r="F74" s="154" t="s">
        <v>144</v>
      </c>
      <c r="G74" s="155"/>
      <c r="H74" s="533"/>
      <c r="I74" s="532"/>
      <c r="J74" s="26"/>
      <c r="K74" s="134"/>
      <c r="L74" s="134"/>
      <c r="M74" s="134"/>
      <c r="N74" s="134"/>
      <c r="O74" s="134"/>
      <c r="P74" s="134"/>
      <c r="Q74" s="134"/>
      <c r="R74" s="134"/>
    </row>
    <row r="75" spans="2:21" ht="11.25" hidden="1" customHeight="1" outlineLevel="2">
      <c r="B75" s="23"/>
      <c r="C75" s="554"/>
      <c r="D75" s="152"/>
      <c r="E75" s="153" t="s">
        <v>143</v>
      </c>
      <c r="F75" s="154" t="s">
        <v>144</v>
      </c>
      <c r="G75" s="155"/>
      <c r="H75" s="533"/>
      <c r="I75" s="532"/>
      <c r="J75" s="26"/>
    </row>
    <row r="76" spans="2:21" ht="11.25" hidden="1" customHeight="1" outlineLevel="2">
      <c r="B76" s="23"/>
      <c r="C76" s="554"/>
      <c r="D76" s="152"/>
      <c r="E76" s="153" t="s">
        <v>143</v>
      </c>
      <c r="F76" s="154" t="s">
        <v>144</v>
      </c>
      <c r="G76" s="155"/>
      <c r="H76" s="533"/>
      <c r="I76" s="532"/>
      <c r="J76" s="26"/>
    </row>
    <row r="77" spans="2:21" ht="11.25" hidden="1" customHeight="1" outlineLevel="2">
      <c r="B77" s="23"/>
      <c r="C77" s="554"/>
      <c r="D77" s="152"/>
      <c r="E77" s="153" t="s">
        <v>143</v>
      </c>
      <c r="F77" s="154" t="s">
        <v>144</v>
      </c>
      <c r="G77" s="155"/>
      <c r="H77" s="533"/>
      <c r="I77" s="532"/>
      <c r="J77" s="26"/>
      <c r="K77" s="564"/>
      <c r="L77" s="565"/>
      <c r="M77" s="565"/>
      <c r="N77" s="565"/>
      <c r="O77" s="565"/>
      <c r="P77" s="565"/>
      <c r="Q77" s="565"/>
      <c r="R77" s="565"/>
      <c r="S77" s="700"/>
      <c r="T77" s="700"/>
      <c r="U77" s="700"/>
    </row>
    <row r="78" spans="2:21" ht="11.25" hidden="1" customHeight="1" outlineLevel="2">
      <c r="B78" s="23"/>
      <c r="C78" s="555"/>
      <c r="D78" s="156"/>
      <c r="E78" s="157" t="s">
        <v>143</v>
      </c>
      <c r="F78" s="158" t="s">
        <v>144</v>
      </c>
      <c r="G78" s="159"/>
      <c r="H78" s="533"/>
      <c r="I78" s="532"/>
      <c r="J78" s="26"/>
      <c r="K78" s="566"/>
      <c r="L78" s="565"/>
      <c r="M78" s="565"/>
      <c r="N78" s="565"/>
      <c r="O78" s="565"/>
      <c r="P78" s="565"/>
      <c r="Q78" s="565"/>
      <c r="R78" s="565"/>
      <c r="S78" s="700"/>
      <c r="T78" s="700"/>
      <c r="U78" s="700"/>
    </row>
    <row r="79" spans="2:21" ht="15" hidden="1" customHeight="1" outlineLevel="2">
      <c r="B79" s="23"/>
      <c r="C79" s="9"/>
      <c r="D79" s="146"/>
      <c r="E79" s="146"/>
      <c r="F79" s="81"/>
      <c r="G79" s="133"/>
      <c r="H79" s="73"/>
      <c r="I79" s="73"/>
      <c r="J79" s="26"/>
      <c r="K79" s="127"/>
    </row>
    <row r="80" spans="2:21" ht="15" hidden="1" customHeight="1" outlineLevel="2">
      <c r="B80" s="23"/>
      <c r="C80" s="9"/>
      <c r="D80" s="146"/>
      <c r="E80" s="146"/>
      <c r="F80" s="325" t="str">
        <f>IF(H34="","","A total of "&amp;SUM(H34,H43,H52,H61,H70)&amp;" minutes must be entered on the KPI sheet as individial lines of")</f>
        <v/>
      </c>
      <c r="G80" s="476" t="str">
        <f>IF(H34="","","INDIVIDUAL REVIEWS activities.")</f>
        <v/>
      </c>
      <c r="H80" s="530"/>
      <c r="I80" s="73"/>
      <c r="J80" s="26"/>
      <c r="K80" s="127"/>
    </row>
    <row r="81" spans="2:18" ht="13.5" hidden="1" customHeight="1" outlineLevel="2">
      <c r="B81" s="23"/>
      <c r="C81" s="9"/>
      <c r="D81" s="9"/>
      <c r="E81" s="161"/>
      <c r="F81" s="120"/>
      <c r="G81" s="162"/>
      <c r="H81" s="163"/>
      <c r="I81" s="73"/>
      <c r="J81" s="26"/>
      <c r="K81" s="134"/>
      <c r="L81" s="134"/>
      <c r="M81" s="134"/>
      <c r="N81" s="134"/>
      <c r="O81" s="134"/>
      <c r="P81" s="134"/>
      <c r="Q81" s="134"/>
      <c r="R81" s="134"/>
    </row>
    <row r="82" spans="2:18" s="45" customFormat="1" ht="13.5" hidden="1" customHeight="1" outlineLevel="2">
      <c r="B82" s="23"/>
      <c r="C82" s="76"/>
      <c r="D82" s="76"/>
      <c r="E82" s="76"/>
      <c r="F82" s="81" t="s">
        <v>134</v>
      </c>
      <c r="G82" s="492" t="s">
        <v>135</v>
      </c>
      <c r="H82" s="534"/>
      <c r="I82" s="73"/>
      <c r="J82" s="26"/>
    </row>
    <row r="83" spans="2:18" s="45" customFormat="1" ht="13.5" hidden="1" customHeight="1" outlineLevel="2">
      <c r="B83" s="23"/>
      <c r="C83" s="76"/>
      <c r="D83" s="76"/>
      <c r="E83" s="76"/>
      <c r="F83" s="81"/>
      <c r="G83" s="82"/>
      <c r="H83" s="83"/>
      <c r="I83" s="73"/>
      <c r="J83" s="26"/>
    </row>
    <row r="84" spans="2:18" ht="14.45" hidden="1" outlineLevel="2">
      <c r="B84" s="28"/>
      <c r="C84" s="30"/>
      <c r="D84" s="30"/>
      <c r="E84" s="30"/>
      <c r="F84" s="30"/>
      <c r="G84" s="30"/>
      <c r="H84" s="30"/>
      <c r="I84" s="126"/>
      <c r="J84" s="31"/>
      <c r="K84" s="134"/>
      <c r="L84" s="134"/>
      <c r="M84" s="134"/>
      <c r="N84" s="134"/>
      <c r="O84" s="134"/>
      <c r="P84" s="134"/>
      <c r="Q84" s="134"/>
      <c r="R84" s="134"/>
    </row>
    <row r="85" spans="2:18" ht="15" hidden="1" customHeight="1" outlineLevel="1" collapsed="1">
      <c r="B85" s="551" t="s">
        <v>146</v>
      </c>
      <c r="C85" s="703"/>
      <c r="D85" s="703"/>
      <c r="E85" s="703"/>
      <c r="F85" s="703"/>
      <c r="G85" s="703"/>
      <c r="H85" s="703"/>
      <c r="I85" s="703"/>
      <c r="J85" s="712"/>
    </row>
    <row r="86" spans="2:18" ht="14.45" hidden="1" outlineLevel="2">
      <c r="B86" s="115"/>
      <c r="C86" s="114"/>
      <c r="D86" s="563"/>
      <c r="E86" s="678"/>
      <c r="F86" s="678"/>
      <c r="G86" s="678"/>
      <c r="H86" s="678"/>
      <c r="I86"/>
      <c r="J86" s="116"/>
    </row>
    <row r="87" spans="2:18" ht="20.25" hidden="1" customHeight="1" outlineLevel="2">
      <c r="B87" s="115"/>
      <c r="C87" s="114"/>
      <c r="D87" s="118" t="s">
        <v>147</v>
      </c>
      <c r="E87" s="197" t="s">
        <v>148</v>
      </c>
      <c r="F87" s="164" t="s">
        <v>149</v>
      </c>
      <c r="G87" s="165" t="s">
        <v>150</v>
      </c>
      <c r="H87" s="165" t="s">
        <v>1</v>
      </c>
      <c r="I87" s="241" t="s">
        <v>151</v>
      </c>
      <c r="J87" s="116"/>
    </row>
    <row r="88" spans="2:18" ht="14.45" hidden="1" outlineLevel="2">
      <c r="B88" s="115"/>
      <c r="C88" s="114"/>
      <c r="D88" s="119">
        <v>1</v>
      </c>
      <c r="E88" s="198" t="s">
        <v>152</v>
      </c>
      <c r="F88" s="186"/>
      <c r="G88" s="187" t="s">
        <v>100</v>
      </c>
      <c r="H88" s="187" t="s">
        <v>100</v>
      </c>
      <c r="I88" s="113"/>
      <c r="J88" s="116"/>
    </row>
    <row r="89" spans="2:18" ht="15" hidden="1" customHeight="1" outlineLevel="2">
      <c r="B89" s="115"/>
      <c r="C89" s="114"/>
      <c r="D89" s="119">
        <v>2</v>
      </c>
      <c r="E89" s="199" t="s">
        <v>152</v>
      </c>
      <c r="F89" s="188" t="s">
        <v>153</v>
      </c>
      <c r="G89" s="189"/>
      <c r="H89" s="189"/>
      <c r="I89" s="113"/>
      <c r="J89" s="116"/>
      <c r="K89" s="134"/>
    </row>
    <row r="90" spans="2:18" ht="15" hidden="1" customHeight="1" outlineLevel="2">
      <c r="B90" s="115"/>
      <c r="C90" s="114"/>
      <c r="D90" s="119">
        <v>3</v>
      </c>
      <c r="E90" s="203" t="s">
        <v>152</v>
      </c>
      <c r="F90" s="196" t="s">
        <v>154</v>
      </c>
      <c r="G90" s="186"/>
      <c r="H90" s="187" t="s">
        <v>155</v>
      </c>
      <c r="I90" s="120"/>
      <c r="J90" s="116"/>
      <c r="K90" s="134"/>
    </row>
    <row r="91" spans="2:18" s="138" customFormat="1" ht="5.0999999999999996" hidden="1" customHeight="1" outlineLevel="2">
      <c r="B91" s="121"/>
      <c r="C91" s="122"/>
      <c r="D91" s="124">
        <v>4</v>
      </c>
      <c r="E91" s="200"/>
      <c r="F91" s="190"/>
      <c r="G91" s="191"/>
      <c r="H91" s="191"/>
      <c r="I91" s="125"/>
      <c r="J91" s="123"/>
      <c r="K91" s="137"/>
    </row>
    <row r="92" spans="2:18" ht="14.45" hidden="1" outlineLevel="2">
      <c r="B92" s="115"/>
      <c r="C92" s="114"/>
      <c r="D92" s="119">
        <v>1</v>
      </c>
      <c r="E92" s="201" t="s">
        <v>156</v>
      </c>
      <c r="F92" s="192"/>
      <c r="G92" s="193" t="s">
        <v>100</v>
      </c>
      <c r="H92" s="193" t="s">
        <v>100</v>
      </c>
      <c r="I92" s="113"/>
      <c r="J92" s="116"/>
    </row>
    <row r="93" spans="2:18" ht="15" hidden="1" customHeight="1" outlineLevel="2">
      <c r="B93" s="115"/>
      <c r="C93" s="114"/>
      <c r="D93" s="119">
        <v>2</v>
      </c>
      <c r="E93" s="202" t="s">
        <v>156</v>
      </c>
      <c r="F93" s="194" t="s">
        <v>153</v>
      </c>
      <c r="G93" s="195"/>
      <c r="H93" s="195"/>
      <c r="I93" s="113"/>
      <c r="J93" s="116"/>
      <c r="K93" s="134"/>
    </row>
    <row r="94" spans="2:18" ht="15" hidden="1" customHeight="1" outlineLevel="2">
      <c r="B94" s="115"/>
      <c r="C94" s="114"/>
      <c r="D94" s="119">
        <v>3</v>
      </c>
      <c r="E94" s="220" t="s">
        <v>156</v>
      </c>
      <c r="F94" s="218" t="s">
        <v>154</v>
      </c>
      <c r="G94" s="219"/>
      <c r="H94" s="240" t="s">
        <v>155</v>
      </c>
      <c r="I94" s="120"/>
      <c r="J94" s="116"/>
      <c r="K94" s="134"/>
    </row>
    <row r="95" spans="2:18" s="138" customFormat="1" ht="5.0999999999999996" hidden="1" customHeight="1" outlineLevel="2">
      <c r="B95" s="121"/>
      <c r="C95" s="122"/>
      <c r="D95" s="124">
        <v>4</v>
      </c>
      <c r="E95" s="200"/>
      <c r="F95" s="190"/>
      <c r="G95" s="191"/>
      <c r="H95" s="191"/>
      <c r="I95" s="125"/>
      <c r="J95" s="123"/>
      <c r="K95" s="137"/>
    </row>
    <row r="96" spans="2:18" ht="14.45" hidden="1" outlineLevel="2">
      <c r="B96" s="115"/>
      <c r="C96" s="114"/>
      <c r="D96" s="119">
        <v>1</v>
      </c>
      <c r="E96" s="198" t="s">
        <v>157</v>
      </c>
      <c r="F96" s="186"/>
      <c r="G96" s="187" t="s">
        <v>100</v>
      </c>
      <c r="H96" s="187" t="s">
        <v>100</v>
      </c>
      <c r="I96" s="113"/>
      <c r="J96" s="116"/>
    </row>
    <row r="97" spans="2:11" ht="15" hidden="1" customHeight="1" outlineLevel="2">
      <c r="B97" s="115"/>
      <c r="C97" s="114"/>
      <c r="D97" s="119">
        <v>2</v>
      </c>
      <c r="E97" s="199" t="s">
        <v>157</v>
      </c>
      <c r="F97" s="188" t="s">
        <v>153</v>
      </c>
      <c r="G97" s="189"/>
      <c r="H97" s="189"/>
      <c r="I97" s="113"/>
      <c r="J97" s="116"/>
      <c r="K97" s="134"/>
    </row>
    <row r="98" spans="2:11" ht="15" hidden="1" customHeight="1" outlineLevel="2">
      <c r="B98" s="115"/>
      <c r="C98" s="114"/>
      <c r="D98" s="119">
        <v>3</v>
      </c>
      <c r="E98" s="203" t="s">
        <v>157</v>
      </c>
      <c r="F98" s="196" t="s">
        <v>154</v>
      </c>
      <c r="G98" s="186"/>
      <c r="H98" s="187" t="s">
        <v>155</v>
      </c>
      <c r="I98" s="120"/>
      <c r="J98" s="116"/>
      <c r="K98" s="134"/>
    </row>
    <row r="99" spans="2:11" s="138" customFormat="1" ht="5.0999999999999996" hidden="1" customHeight="1" outlineLevel="2">
      <c r="B99" s="121"/>
      <c r="C99" s="122"/>
      <c r="D99" s="124">
        <v>4</v>
      </c>
      <c r="E99" s="200"/>
      <c r="F99" s="190"/>
      <c r="G99" s="191"/>
      <c r="H99" s="191"/>
      <c r="I99" s="125"/>
      <c r="J99" s="123"/>
      <c r="K99" s="137"/>
    </row>
    <row r="100" spans="2:11" ht="14.45" hidden="1" outlineLevel="2">
      <c r="B100" s="115"/>
      <c r="C100" s="114"/>
      <c r="D100" s="119">
        <v>1</v>
      </c>
      <c r="E100" s="201" t="s">
        <v>158</v>
      </c>
      <c r="F100" s="192"/>
      <c r="G100" s="193" t="s">
        <v>100</v>
      </c>
      <c r="H100" s="193" t="s">
        <v>100</v>
      </c>
      <c r="I100" s="113"/>
      <c r="J100" s="116"/>
    </row>
    <row r="101" spans="2:11" ht="15" hidden="1" customHeight="1" outlineLevel="2">
      <c r="B101" s="115"/>
      <c r="C101" s="114"/>
      <c r="D101" s="119">
        <v>2</v>
      </c>
      <c r="E101" s="202" t="s">
        <v>158</v>
      </c>
      <c r="F101" s="194" t="s">
        <v>153</v>
      </c>
      <c r="G101" s="195"/>
      <c r="H101" s="195"/>
      <c r="I101" s="113"/>
      <c r="J101" s="116"/>
      <c r="K101" s="134"/>
    </row>
    <row r="102" spans="2:11" ht="15" hidden="1" customHeight="1" outlineLevel="2">
      <c r="B102" s="115"/>
      <c r="C102" s="114"/>
      <c r="D102" s="119">
        <v>3</v>
      </c>
      <c r="E102" s="220" t="s">
        <v>158</v>
      </c>
      <c r="F102" s="218" t="s">
        <v>154</v>
      </c>
      <c r="G102" s="219"/>
      <c r="H102" s="240" t="s">
        <v>155</v>
      </c>
      <c r="I102" s="120"/>
      <c r="J102" s="116"/>
      <c r="K102" s="134"/>
    </row>
    <row r="103" spans="2:11" s="138" customFormat="1" ht="5.0999999999999996" hidden="1" customHeight="1" outlineLevel="2">
      <c r="B103" s="121"/>
      <c r="C103" s="122"/>
      <c r="D103" s="124">
        <v>4</v>
      </c>
      <c r="E103" s="200"/>
      <c r="F103" s="190"/>
      <c r="G103" s="191"/>
      <c r="H103" s="191"/>
      <c r="I103" s="125"/>
      <c r="J103" s="123"/>
      <c r="K103" s="137"/>
    </row>
    <row r="104" spans="2:11" ht="14.45" hidden="1" outlineLevel="2">
      <c r="B104" s="115"/>
      <c r="C104" s="114"/>
      <c r="D104" s="119">
        <v>1</v>
      </c>
      <c r="E104" s="198" t="s">
        <v>159</v>
      </c>
      <c r="F104" s="186"/>
      <c r="G104" s="187" t="s">
        <v>100</v>
      </c>
      <c r="H104" s="187" t="s">
        <v>100</v>
      </c>
      <c r="I104" s="113"/>
      <c r="J104" s="116"/>
    </row>
    <row r="105" spans="2:11" ht="15" hidden="1" customHeight="1" outlineLevel="2">
      <c r="B105" s="115"/>
      <c r="C105" s="114"/>
      <c r="D105" s="119">
        <v>2</v>
      </c>
      <c r="E105" s="199" t="s">
        <v>159</v>
      </c>
      <c r="F105" s="188" t="s">
        <v>153</v>
      </c>
      <c r="G105" s="189"/>
      <c r="H105" s="189"/>
      <c r="I105" s="113"/>
      <c r="J105" s="116"/>
      <c r="K105" s="134"/>
    </row>
    <row r="106" spans="2:11" ht="15" hidden="1" customHeight="1" outlineLevel="2">
      <c r="B106" s="115"/>
      <c r="C106" s="114"/>
      <c r="D106" s="119">
        <v>3</v>
      </c>
      <c r="E106" s="203" t="s">
        <v>159</v>
      </c>
      <c r="F106" s="196" t="s">
        <v>154</v>
      </c>
      <c r="G106" s="186"/>
      <c r="H106" s="187" t="s">
        <v>155</v>
      </c>
      <c r="I106" s="120"/>
      <c r="J106" s="116"/>
      <c r="K106" s="134"/>
    </row>
    <row r="107" spans="2:11" s="138" customFormat="1" ht="5.0999999999999996" hidden="1" customHeight="1" outlineLevel="2">
      <c r="B107" s="121"/>
      <c r="C107" s="122"/>
      <c r="D107" s="124">
        <v>4</v>
      </c>
      <c r="E107" s="200"/>
      <c r="F107" s="190"/>
      <c r="G107" s="191"/>
      <c r="H107" s="191"/>
      <c r="I107" s="125"/>
      <c r="J107" s="123"/>
      <c r="K107" s="137"/>
    </row>
    <row r="108" spans="2:11" ht="14.45" hidden="1" outlineLevel="2">
      <c r="B108" s="115"/>
      <c r="C108" s="114"/>
      <c r="D108" s="119">
        <v>1</v>
      </c>
      <c r="E108" s="201" t="s">
        <v>160</v>
      </c>
      <c r="F108" s="192"/>
      <c r="G108" s="193" t="s">
        <v>100</v>
      </c>
      <c r="H108" s="193" t="s">
        <v>100</v>
      </c>
      <c r="I108" s="113"/>
      <c r="J108" s="116"/>
    </row>
    <row r="109" spans="2:11" ht="15" hidden="1" customHeight="1" outlineLevel="2">
      <c r="B109" s="115"/>
      <c r="C109" s="114"/>
      <c r="D109" s="119">
        <v>2</v>
      </c>
      <c r="E109" s="202" t="s">
        <v>160</v>
      </c>
      <c r="F109" s="194" t="s">
        <v>153</v>
      </c>
      <c r="G109" s="195"/>
      <c r="H109" s="195"/>
      <c r="I109" s="113"/>
      <c r="J109" s="116"/>
      <c r="K109" s="134"/>
    </row>
    <row r="110" spans="2:11" ht="15" hidden="1" customHeight="1" outlineLevel="2">
      <c r="B110" s="115"/>
      <c r="C110" s="114"/>
      <c r="D110" s="119">
        <v>3</v>
      </c>
      <c r="E110" s="220" t="s">
        <v>160</v>
      </c>
      <c r="F110" s="218" t="s">
        <v>154</v>
      </c>
      <c r="G110" s="219"/>
      <c r="H110" s="240" t="s">
        <v>155</v>
      </c>
      <c r="I110" s="120"/>
      <c r="J110" s="116"/>
      <c r="K110" s="134"/>
    </row>
    <row r="111" spans="2:11" s="138" customFormat="1" ht="5.0999999999999996" hidden="1" customHeight="1" outlineLevel="2">
      <c r="B111" s="121"/>
      <c r="C111" s="122"/>
      <c r="D111" s="124">
        <v>4</v>
      </c>
      <c r="E111" s="200"/>
      <c r="F111" s="190"/>
      <c r="G111" s="191"/>
      <c r="H111" s="191"/>
      <c r="I111" s="125"/>
      <c r="J111" s="123"/>
      <c r="K111" s="137"/>
    </row>
    <row r="112" spans="2:11" ht="14.45" hidden="1" outlineLevel="2">
      <c r="B112" s="115"/>
      <c r="C112" s="114"/>
      <c r="D112" s="119">
        <v>1</v>
      </c>
      <c r="E112" s="198" t="s">
        <v>161</v>
      </c>
      <c r="F112" s="186"/>
      <c r="G112" s="187" t="s">
        <v>100</v>
      </c>
      <c r="H112" s="187" t="s">
        <v>100</v>
      </c>
      <c r="I112" s="113"/>
      <c r="J112" s="116"/>
    </row>
    <row r="113" spans="2:11" ht="15" hidden="1" customHeight="1" outlineLevel="2">
      <c r="B113" s="115"/>
      <c r="C113" s="114"/>
      <c r="D113" s="119">
        <v>2</v>
      </c>
      <c r="E113" s="199" t="s">
        <v>161</v>
      </c>
      <c r="F113" s="188" t="s">
        <v>153</v>
      </c>
      <c r="G113" s="189"/>
      <c r="H113" s="189"/>
      <c r="I113" s="113"/>
      <c r="J113" s="116"/>
      <c r="K113" s="134"/>
    </row>
    <row r="114" spans="2:11" ht="15" hidden="1" customHeight="1" outlineLevel="2">
      <c r="B114" s="115"/>
      <c r="C114" s="114"/>
      <c r="D114" s="119">
        <v>3</v>
      </c>
      <c r="E114" s="203" t="s">
        <v>161</v>
      </c>
      <c r="F114" s="196" t="s">
        <v>154</v>
      </c>
      <c r="G114" s="186"/>
      <c r="H114" s="187" t="s">
        <v>155</v>
      </c>
      <c r="I114" s="120"/>
      <c r="J114" s="116"/>
      <c r="K114" s="134"/>
    </row>
    <row r="115" spans="2:11" s="138" customFormat="1" ht="5.0999999999999996" hidden="1" customHeight="1" outlineLevel="2">
      <c r="B115" s="121"/>
      <c r="C115" s="122"/>
      <c r="D115" s="124">
        <v>4</v>
      </c>
      <c r="E115" s="200"/>
      <c r="F115" s="190"/>
      <c r="G115" s="191"/>
      <c r="H115" s="191"/>
      <c r="I115" s="125"/>
      <c r="J115" s="123"/>
      <c r="K115" s="137"/>
    </row>
    <row r="116" spans="2:11" ht="14.45" hidden="1" outlineLevel="2">
      <c r="B116" s="115"/>
      <c r="C116" s="114"/>
      <c r="D116" s="119">
        <v>1</v>
      </c>
      <c r="E116" s="201" t="s">
        <v>162</v>
      </c>
      <c r="F116" s="192"/>
      <c r="G116" s="193" t="s">
        <v>100</v>
      </c>
      <c r="H116" s="193" t="s">
        <v>100</v>
      </c>
      <c r="I116" s="113"/>
      <c r="J116" s="116"/>
    </row>
    <row r="117" spans="2:11" ht="15" hidden="1" customHeight="1" outlineLevel="2">
      <c r="B117" s="115"/>
      <c r="C117" s="114"/>
      <c r="D117" s="119">
        <v>2</v>
      </c>
      <c r="E117" s="202" t="s">
        <v>162</v>
      </c>
      <c r="F117" s="194" t="s">
        <v>153</v>
      </c>
      <c r="G117" s="195"/>
      <c r="H117" s="195"/>
      <c r="I117" s="113"/>
      <c r="J117" s="116"/>
      <c r="K117" s="134"/>
    </row>
    <row r="118" spans="2:11" ht="15" hidden="1" customHeight="1" outlineLevel="2">
      <c r="B118" s="115"/>
      <c r="C118" s="114"/>
      <c r="D118" s="119">
        <v>3</v>
      </c>
      <c r="E118" s="220" t="s">
        <v>162</v>
      </c>
      <c r="F118" s="218" t="s">
        <v>154</v>
      </c>
      <c r="G118" s="219"/>
      <c r="H118" s="240" t="s">
        <v>155</v>
      </c>
      <c r="I118" s="120"/>
      <c r="J118" s="116"/>
      <c r="K118" s="134"/>
    </row>
    <row r="119" spans="2:11" s="138" customFormat="1" ht="5.0999999999999996" hidden="1" customHeight="1" outlineLevel="2">
      <c r="B119" s="121"/>
      <c r="C119" s="122"/>
      <c r="D119" s="124">
        <v>4</v>
      </c>
      <c r="E119" s="200"/>
      <c r="F119" s="190"/>
      <c r="G119" s="191"/>
      <c r="H119" s="191"/>
      <c r="I119" s="125"/>
      <c r="J119" s="123"/>
      <c r="K119" s="137"/>
    </row>
    <row r="120" spans="2:11" ht="14.45" hidden="1" outlineLevel="2">
      <c r="B120" s="115"/>
      <c r="C120" s="114"/>
      <c r="D120" s="119">
        <v>1</v>
      </c>
      <c r="E120" s="198" t="s">
        <v>163</v>
      </c>
      <c r="F120" s="186"/>
      <c r="G120" s="187" t="s">
        <v>100</v>
      </c>
      <c r="H120" s="187" t="s">
        <v>100</v>
      </c>
      <c r="I120" s="113"/>
      <c r="J120" s="116"/>
    </row>
    <row r="121" spans="2:11" ht="15" hidden="1" customHeight="1" outlineLevel="2">
      <c r="B121" s="115"/>
      <c r="C121" s="114"/>
      <c r="D121" s="119">
        <v>2</v>
      </c>
      <c r="E121" s="199" t="s">
        <v>163</v>
      </c>
      <c r="F121" s="188" t="s">
        <v>153</v>
      </c>
      <c r="G121" s="189"/>
      <c r="H121" s="189"/>
      <c r="I121" s="113"/>
      <c r="J121" s="116"/>
      <c r="K121" s="134"/>
    </row>
    <row r="122" spans="2:11" ht="15" hidden="1" customHeight="1" outlineLevel="2">
      <c r="B122" s="115"/>
      <c r="C122" s="114"/>
      <c r="D122" s="119">
        <v>3</v>
      </c>
      <c r="E122" s="203" t="s">
        <v>163</v>
      </c>
      <c r="F122" s="196" t="s">
        <v>154</v>
      </c>
      <c r="G122" s="186"/>
      <c r="H122" s="187" t="s">
        <v>155</v>
      </c>
      <c r="I122" s="120"/>
      <c r="J122" s="116"/>
      <c r="K122" s="134"/>
    </row>
    <row r="123" spans="2:11" s="138" customFormat="1" ht="5.0999999999999996" hidden="1" customHeight="1" outlineLevel="2">
      <c r="B123" s="121"/>
      <c r="C123" s="122"/>
      <c r="D123" s="124">
        <v>4</v>
      </c>
      <c r="E123" s="200"/>
      <c r="F123" s="190"/>
      <c r="G123" s="191"/>
      <c r="H123" s="191"/>
      <c r="I123" s="125"/>
      <c r="J123" s="123"/>
      <c r="K123" s="137"/>
    </row>
    <row r="124" spans="2:11" ht="14.45" hidden="1" outlineLevel="2">
      <c r="B124" s="115"/>
      <c r="C124" s="114"/>
      <c r="D124" s="119">
        <v>1</v>
      </c>
      <c r="E124" s="201" t="s">
        <v>164</v>
      </c>
      <c r="F124" s="192"/>
      <c r="G124" s="193" t="s">
        <v>100</v>
      </c>
      <c r="H124" s="193" t="s">
        <v>100</v>
      </c>
      <c r="I124" s="113"/>
      <c r="J124" s="116"/>
    </row>
    <row r="125" spans="2:11" ht="15" hidden="1" customHeight="1" outlineLevel="2">
      <c r="B125" s="115"/>
      <c r="C125" s="114"/>
      <c r="D125" s="119">
        <v>2</v>
      </c>
      <c r="E125" s="202" t="s">
        <v>164</v>
      </c>
      <c r="F125" s="194" t="s">
        <v>153</v>
      </c>
      <c r="G125" s="195"/>
      <c r="H125" s="195"/>
      <c r="I125" s="113"/>
      <c r="J125" s="116"/>
      <c r="K125" s="134"/>
    </row>
    <row r="126" spans="2:11" ht="15" hidden="1" customHeight="1" outlineLevel="2">
      <c r="B126" s="115"/>
      <c r="C126" s="114" t="s">
        <v>165</v>
      </c>
      <c r="D126" s="119">
        <v>3</v>
      </c>
      <c r="E126" s="220" t="s">
        <v>164</v>
      </c>
      <c r="F126" s="218" t="s">
        <v>154</v>
      </c>
      <c r="G126" s="219"/>
      <c r="H126" s="240" t="s">
        <v>155</v>
      </c>
      <c r="I126" s="120"/>
      <c r="J126" s="116"/>
      <c r="K126" s="134"/>
    </row>
    <row r="127" spans="2:11" s="138" customFormat="1" ht="5.0999999999999996" hidden="1" customHeight="1" outlineLevel="3">
      <c r="B127" s="121"/>
      <c r="C127" s="122"/>
      <c r="D127" s="124">
        <v>4</v>
      </c>
      <c r="E127" s="200"/>
      <c r="F127" s="190"/>
      <c r="G127" s="191"/>
      <c r="H127" s="191"/>
      <c r="I127" s="125"/>
      <c r="J127" s="123"/>
      <c r="K127" s="137"/>
    </row>
    <row r="128" spans="2:11" ht="14.45" hidden="1" outlineLevel="3">
      <c r="B128" s="115"/>
      <c r="C128" s="9"/>
      <c r="D128" s="119">
        <v>1</v>
      </c>
      <c r="E128" s="198" t="s">
        <v>166</v>
      </c>
      <c r="F128" s="186"/>
      <c r="G128" s="187" t="s">
        <v>100</v>
      </c>
      <c r="H128" s="187" t="s">
        <v>100</v>
      </c>
      <c r="I128" s="113"/>
      <c r="J128" s="116"/>
    </row>
    <row r="129" spans="2:11" ht="15" hidden="1" customHeight="1" outlineLevel="3">
      <c r="B129" s="115"/>
      <c r="C129" s="114"/>
      <c r="D129" s="119">
        <v>2</v>
      </c>
      <c r="E129" s="199" t="s">
        <v>152</v>
      </c>
      <c r="F129" s="188" t="s">
        <v>153</v>
      </c>
      <c r="G129" s="189"/>
      <c r="H129" s="189"/>
      <c r="I129" s="113"/>
      <c r="J129" s="116"/>
      <c r="K129" s="134"/>
    </row>
    <row r="130" spans="2:11" ht="15" hidden="1" customHeight="1" outlineLevel="3">
      <c r="B130" s="115"/>
      <c r="C130" s="114"/>
      <c r="D130" s="119">
        <v>3</v>
      </c>
      <c r="E130" s="203" t="s">
        <v>166</v>
      </c>
      <c r="F130" s="196" t="s">
        <v>154</v>
      </c>
      <c r="G130" s="186"/>
      <c r="H130" s="187" t="s">
        <v>155</v>
      </c>
      <c r="I130" s="120"/>
      <c r="J130" s="116"/>
      <c r="K130" s="134"/>
    </row>
    <row r="131" spans="2:11" s="138" customFormat="1" ht="5.0999999999999996" hidden="1" customHeight="1" outlineLevel="3">
      <c r="B131" s="121"/>
      <c r="C131" s="122"/>
      <c r="D131" s="124">
        <v>4</v>
      </c>
      <c r="E131" s="200"/>
      <c r="F131" s="190"/>
      <c r="G131" s="191"/>
      <c r="H131" s="191"/>
      <c r="I131" s="125"/>
      <c r="J131" s="123"/>
      <c r="K131" s="137"/>
    </row>
    <row r="132" spans="2:11" ht="14.45" hidden="1" outlineLevel="3">
      <c r="B132" s="115"/>
      <c r="C132" s="114"/>
      <c r="D132" s="119">
        <v>1</v>
      </c>
      <c r="E132" s="201" t="s">
        <v>167</v>
      </c>
      <c r="F132" s="192"/>
      <c r="G132" s="193" t="s">
        <v>100</v>
      </c>
      <c r="H132" s="193" t="s">
        <v>100</v>
      </c>
      <c r="I132" s="113"/>
      <c r="J132" s="116"/>
    </row>
    <row r="133" spans="2:11" ht="15" hidden="1" customHeight="1" outlineLevel="3">
      <c r="B133" s="115"/>
      <c r="C133" s="114"/>
      <c r="D133" s="119">
        <v>2</v>
      </c>
      <c r="E133" s="202" t="s">
        <v>167</v>
      </c>
      <c r="F133" s="194" t="s">
        <v>153</v>
      </c>
      <c r="G133" s="195"/>
      <c r="H133" s="195"/>
      <c r="I133" s="113"/>
      <c r="J133" s="116"/>
      <c r="K133" s="134"/>
    </row>
    <row r="134" spans="2:11" ht="15" hidden="1" customHeight="1" outlineLevel="3">
      <c r="B134" s="115"/>
      <c r="C134" s="114"/>
      <c r="D134" s="119">
        <v>3</v>
      </c>
      <c r="E134" s="220" t="s">
        <v>167</v>
      </c>
      <c r="F134" s="218" t="s">
        <v>154</v>
      </c>
      <c r="G134" s="219"/>
      <c r="H134" s="240" t="s">
        <v>155</v>
      </c>
      <c r="I134" s="120"/>
      <c r="J134" s="116"/>
      <c r="K134" s="134"/>
    </row>
    <row r="135" spans="2:11" s="138" customFormat="1" ht="5.0999999999999996" hidden="1" customHeight="1" outlineLevel="3">
      <c r="B135" s="121"/>
      <c r="C135" s="122"/>
      <c r="D135" s="124">
        <v>4</v>
      </c>
      <c r="E135" s="200"/>
      <c r="F135" s="190"/>
      <c r="G135" s="191"/>
      <c r="H135" s="191"/>
      <c r="I135" s="125"/>
      <c r="J135" s="123"/>
      <c r="K135" s="137"/>
    </row>
    <row r="136" spans="2:11" ht="14.45" hidden="1" outlineLevel="3">
      <c r="B136" s="115"/>
      <c r="C136" s="114"/>
      <c r="D136" s="119">
        <v>1</v>
      </c>
      <c r="E136" s="198" t="s">
        <v>168</v>
      </c>
      <c r="F136" s="186"/>
      <c r="G136" s="187" t="s">
        <v>100</v>
      </c>
      <c r="H136" s="187" t="s">
        <v>100</v>
      </c>
      <c r="I136" s="113"/>
      <c r="J136" s="116"/>
    </row>
    <row r="137" spans="2:11" ht="15" hidden="1" customHeight="1" outlineLevel="3">
      <c r="B137" s="115"/>
      <c r="C137" s="114"/>
      <c r="D137" s="119">
        <v>2</v>
      </c>
      <c r="E137" s="199" t="s">
        <v>168</v>
      </c>
      <c r="F137" s="188" t="s">
        <v>153</v>
      </c>
      <c r="G137" s="189"/>
      <c r="H137" s="189"/>
      <c r="I137" s="113"/>
      <c r="J137" s="116"/>
      <c r="K137" s="134"/>
    </row>
    <row r="138" spans="2:11" ht="15" hidden="1" customHeight="1" outlineLevel="3">
      <c r="B138" s="115"/>
      <c r="C138" s="114"/>
      <c r="D138" s="119">
        <v>3</v>
      </c>
      <c r="E138" s="203" t="s">
        <v>168</v>
      </c>
      <c r="F138" s="196" t="s">
        <v>154</v>
      </c>
      <c r="G138" s="186"/>
      <c r="H138" s="187" t="s">
        <v>155</v>
      </c>
      <c r="I138" s="120"/>
      <c r="J138" s="116"/>
      <c r="K138" s="134"/>
    </row>
    <row r="139" spans="2:11" s="138" customFormat="1" ht="5.0999999999999996" hidden="1" customHeight="1" outlineLevel="3">
      <c r="B139" s="121"/>
      <c r="C139" s="122"/>
      <c r="D139" s="124">
        <v>4</v>
      </c>
      <c r="E139" s="200"/>
      <c r="F139" s="190"/>
      <c r="G139" s="191"/>
      <c r="H139" s="191"/>
      <c r="I139" s="125"/>
      <c r="J139" s="123"/>
      <c r="K139" s="137"/>
    </row>
    <row r="140" spans="2:11" ht="14.45" hidden="1" outlineLevel="3">
      <c r="B140" s="115"/>
      <c r="C140" s="114"/>
      <c r="D140" s="119">
        <v>1</v>
      </c>
      <c r="E140" s="201" t="s">
        <v>169</v>
      </c>
      <c r="F140" s="192"/>
      <c r="G140" s="193" t="s">
        <v>100</v>
      </c>
      <c r="H140" s="193" t="s">
        <v>100</v>
      </c>
      <c r="I140" s="113"/>
      <c r="J140" s="116"/>
    </row>
    <row r="141" spans="2:11" ht="15" hidden="1" customHeight="1" outlineLevel="3">
      <c r="B141" s="115"/>
      <c r="C141" s="114"/>
      <c r="D141" s="119">
        <v>2</v>
      </c>
      <c r="E141" s="202" t="s">
        <v>169</v>
      </c>
      <c r="F141" s="194" t="s">
        <v>153</v>
      </c>
      <c r="G141" s="195"/>
      <c r="H141" s="195"/>
      <c r="I141" s="113"/>
      <c r="J141" s="116"/>
      <c r="K141" s="134"/>
    </row>
    <row r="142" spans="2:11" ht="15" hidden="1" customHeight="1" outlineLevel="3">
      <c r="B142" s="115"/>
      <c r="C142" s="114"/>
      <c r="D142" s="119">
        <v>3</v>
      </c>
      <c r="E142" s="220" t="s">
        <v>169</v>
      </c>
      <c r="F142" s="218" t="s">
        <v>154</v>
      </c>
      <c r="G142" s="219"/>
      <c r="H142" s="240" t="s">
        <v>155</v>
      </c>
      <c r="I142" s="120"/>
      <c r="J142" s="116"/>
      <c r="K142" s="134"/>
    </row>
    <row r="143" spans="2:11" s="138" customFormat="1" ht="5.0999999999999996" hidden="1" customHeight="1" outlineLevel="3">
      <c r="B143" s="121"/>
      <c r="C143" s="122"/>
      <c r="D143" s="124">
        <v>4</v>
      </c>
      <c r="E143" s="200"/>
      <c r="F143" s="190"/>
      <c r="G143" s="191"/>
      <c r="H143" s="191"/>
      <c r="I143" s="125"/>
      <c r="J143" s="123"/>
      <c r="K143" s="137"/>
    </row>
    <row r="144" spans="2:11" ht="14.45" hidden="1" outlineLevel="3">
      <c r="B144" s="115"/>
      <c r="C144" s="114"/>
      <c r="D144" s="119">
        <v>1</v>
      </c>
      <c r="E144" s="198" t="s">
        <v>170</v>
      </c>
      <c r="F144" s="186"/>
      <c r="G144" s="187" t="s">
        <v>100</v>
      </c>
      <c r="H144" s="187" t="s">
        <v>100</v>
      </c>
      <c r="I144" s="113"/>
      <c r="J144" s="116"/>
    </row>
    <row r="145" spans="2:11" ht="15" hidden="1" customHeight="1" outlineLevel="3">
      <c r="B145" s="115"/>
      <c r="C145" s="114"/>
      <c r="D145" s="119">
        <v>2</v>
      </c>
      <c r="E145" s="199" t="s">
        <v>170</v>
      </c>
      <c r="F145" s="188" t="s">
        <v>153</v>
      </c>
      <c r="G145" s="189"/>
      <c r="H145" s="189"/>
      <c r="I145" s="113"/>
      <c r="J145" s="116"/>
      <c r="K145" s="134"/>
    </row>
    <row r="146" spans="2:11" ht="15" hidden="1" customHeight="1" outlineLevel="3">
      <c r="B146" s="115"/>
      <c r="C146" s="114"/>
      <c r="D146" s="119">
        <v>3</v>
      </c>
      <c r="E146" s="203" t="s">
        <v>170</v>
      </c>
      <c r="F146" s="196" t="s">
        <v>154</v>
      </c>
      <c r="G146" s="186"/>
      <c r="H146" s="187" t="s">
        <v>155</v>
      </c>
      <c r="I146" s="120"/>
      <c r="J146" s="116"/>
      <c r="K146" s="134"/>
    </row>
    <row r="147" spans="2:11" s="138" customFormat="1" ht="5.0999999999999996" hidden="1" customHeight="1" outlineLevel="3">
      <c r="B147" s="121"/>
      <c r="C147" s="122"/>
      <c r="D147" s="124">
        <v>4</v>
      </c>
      <c r="E147" s="200"/>
      <c r="F147" s="190"/>
      <c r="G147" s="191"/>
      <c r="H147" s="191"/>
      <c r="I147" s="125"/>
      <c r="J147" s="123"/>
      <c r="K147" s="137"/>
    </row>
    <row r="148" spans="2:11" ht="14.45" hidden="1" outlineLevel="3">
      <c r="B148" s="115"/>
      <c r="C148" s="114"/>
      <c r="D148" s="119">
        <v>1</v>
      </c>
      <c r="E148" s="201" t="s">
        <v>171</v>
      </c>
      <c r="F148" s="192"/>
      <c r="G148" s="193" t="s">
        <v>100</v>
      </c>
      <c r="H148" s="193" t="s">
        <v>100</v>
      </c>
      <c r="I148" s="113"/>
      <c r="J148" s="116"/>
    </row>
    <row r="149" spans="2:11" ht="15" hidden="1" customHeight="1" outlineLevel="3">
      <c r="B149" s="115"/>
      <c r="C149" s="114"/>
      <c r="D149" s="119">
        <v>2</v>
      </c>
      <c r="E149" s="202" t="s">
        <v>171</v>
      </c>
      <c r="F149" s="194" t="s">
        <v>153</v>
      </c>
      <c r="G149" s="195"/>
      <c r="H149" s="195"/>
      <c r="I149" s="113"/>
      <c r="J149" s="116"/>
      <c r="K149" s="134"/>
    </row>
    <row r="150" spans="2:11" ht="15" hidden="1" customHeight="1" outlineLevel="3">
      <c r="B150" s="115"/>
      <c r="C150" s="114"/>
      <c r="D150" s="119">
        <v>3</v>
      </c>
      <c r="E150" s="220" t="s">
        <v>171</v>
      </c>
      <c r="F150" s="218" t="s">
        <v>154</v>
      </c>
      <c r="G150" s="219"/>
      <c r="H150" s="240" t="s">
        <v>155</v>
      </c>
      <c r="I150" s="120"/>
      <c r="J150" s="116"/>
      <c r="K150" s="134"/>
    </row>
    <row r="151" spans="2:11" s="138" customFormat="1" ht="5.0999999999999996" hidden="1" customHeight="1" outlineLevel="3">
      <c r="B151" s="121"/>
      <c r="C151" s="122"/>
      <c r="D151" s="124">
        <v>4</v>
      </c>
      <c r="E151" s="200"/>
      <c r="F151" s="190"/>
      <c r="G151" s="191"/>
      <c r="H151" s="191"/>
      <c r="I151" s="125"/>
      <c r="J151" s="123"/>
      <c r="K151" s="137"/>
    </row>
    <row r="152" spans="2:11" ht="14.45" hidden="1" outlineLevel="3">
      <c r="B152" s="115"/>
      <c r="C152" s="114"/>
      <c r="D152" s="119">
        <v>1</v>
      </c>
      <c r="E152" s="198" t="s">
        <v>172</v>
      </c>
      <c r="F152" s="186"/>
      <c r="G152" s="187" t="s">
        <v>100</v>
      </c>
      <c r="H152" s="187" t="s">
        <v>100</v>
      </c>
      <c r="I152" s="113"/>
      <c r="J152" s="116"/>
    </row>
    <row r="153" spans="2:11" ht="15" hidden="1" customHeight="1" outlineLevel="3">
      <c r="B153" s="115"/>
      <c r="C153" s="114"/>
      <c r="D153" s="119">
        <v>2</v>
      </c>
      <c r="E153" s="199" t="s">
        <v>172</v>
      </c>
      <c r="F153" s="188" t="s">
        <v>153</v>
      </c>
      <c r="G153" s="189"/>
      <c r="H153" s="189"/>
      <c r="I153" s="113"/>
      <c r="J153" s="116"/>
      <c r="K153" s="134"/>
    </row>
    <row r="154" spans="2:11" ht="15" hidden="1" customHeight="1" outlineLevel="3">
      <c r="B154" s="115"/>
      <c r="C154" s="114"/>
      <c r="D154" s="119">
        <v>3</v>
      </c>
      <c r="E154" s="203" t="s">
        <v>172</v>
      </c>
      <c r="F154" s="196" t="s">
        <v>154</v>
      </c>
      <c r="G154" s="186"/>
      <c r="H154" s="187" t="s">
        <v>155</v>
      </c>
      <c r="I154" s="120"/>
      <c r="J154" s="116"/>
      <c r="K154" s="134"/>
    </row>
    <row r="155" spans="2:11" s="138" customFormat="1" ht="5.0999999999999996" hidden="1" customHeight="1" outlineLevel="3">
      <c r="B155" s="121"/>
      <c r="C155" s="122"/>
      <c r="D155" s="124">
        <v>4</v>
      </c>
      <c r="E155" s="200"/>
      <c r="F155" s="190"/>
      <c r="G155" s="191"/>
      <c r="H155" s="191"/>
      <c r="I155" s="125"/>
      <c r="J155" s="123"/>
      <c r="K155" s="137"/>
    </row>
    <row r="156" spans="2:11" ht="14.45" hidden="1" outlineLevel="3">
      <c r="B156" s="115"/>
      <c r="C156" s="114"/>
      <c r="D156" s="119">
        <v>1</v>
      </c>
      <c r="E156" s="201" t="s">
        <v>173</v>
      </c>
      <c r="F156" s="192"/>
      <c r="G156" s="193" t="s">
        <v>100</v>
      </c>
      <c r="H156" s="193" t="s">
        <v>100</v>
      </c>
      <c r="I156" s="113"/>
      <c r="J156" s="116"/>
    </row>
    <row r="157" spans="2:11" ht="15" hidden="1" customHeight="1" outlineLevel="3">
      <c r="B157" s="115"/>
      <c r="C157" s="114"/>
      <c r="D157" s="119">
        <v>2</v>
      </c>
      <c r="E157" s="202" t="s">
        <v>173</v>
      </c>
      <c r="F157" s="194" t="s">
        <v>153</v>
      </c>
      <c r="G157" s="195"/>
      <c r="H157" s="195"/>
      <c r="I157" s="113"/>
      <c r="J157" s="116"/>
      <c r="K157" s="134"/>
    </row>
    <row r="158" spans="2:11" ht="15" hidden="1" customHeight="1" outlineLevel="3">
      <c r="B158" s="115"/>
      <c r="C158" s="114"/>
      <c r="D158" s="119">
        <v>3</v>
      </c>
      <c r="E158" s="220" t="s">
        <v>173</v>
      </c>
      <c r="F158" s="218" t="s">
        <v>154</v>
      </c>
      <c r="G158" s="219"/>
      <c r="H158" s="240" t="s">
        <v>155</v>
      </c>
      <c r="I158" s="120"/>
      <c r="J158" s="116"/>
      <c r="K158" s="134"/>
    </row>
    <row r="159" spans="2:11" s="138" customFormat="1" ht="5.0999999999999996" hidden="1" customHeight="1" outlineLevel="3">
      <c r="B159" s="121"/>
      <c r="C159" s="122"/>
      <c r="D159" s="124">
        <v>4</v>
      </c>
      <c r="E159" s="200"/>
      <c r="F159" s="190"/>
      <c r="G159" s="191"/>
      <c r="H159" s="191"/>
      <c r="I159" s="125"/>
      <c r="J159" s="123"/>
      <c r="K159" s="137"/>
    </row>
    <row r="160" spans="2:11" ht="14.45" hidden="1" outlineLevel="3">
      <c r="B160" s="115"/>
      <c r="C160" s="114"/>
      <c r="D160" s="119">
        <v>1</v>
      </c>
      <c r="E160" s="198" t="s">
        <v>174</v>
      </c>
      <c r="F160" s="186"/>
      <c r="G160" s="187" t="s">
        <v>100</v>
      </c>
      <c r="H160" s="187" t="s">
        <v>100</v>
      </c>
      <c r="I160" s="113"/>
      <c r="J160" s="116"/>
    </row>
    <row r="161" spans="2:26" ht="15" hidden="1" customHeight="1" outlineLevel="3">
      <c r="B161" s="115"/>
      <c r="C161" s="114"/>
      <c r="D161" s="119">
        <v>2</v>
      </c>
      <c r="E161" s="199" t="s">
        <v>174</v>
      </c>
      <c r="F161" s="188" t="s">
        <v>153</v>
      </c>
      <c r="G161" s="189"/>
      <c r="H161" s="189"/>
      <c r="I161" s="113"/>
      <c r="J161" s="116"/>
      <c r="K161" s="134"/>
    </row>
    <row r="162" spans="2:26" ht="15" hidden="1" customHeight="1" outlineLevel="3">
      <c r="B162" s="115"/>
      <c r="C162" s="114"/>
      <c r="D162" s="119">
        <v>3</v>
      </c>
      <c r="E162" s="203" t="s">
        <v>174</v>
      </c>
      <c r="F162" s="196" t="s">
        <v>154</v>
      </c>
      <c r="G162" s="186"/>
      <c r="H162" s="187" t="s">
        <v>155</v>
      </c>
      <c r="I162" s="120"/>
      <c r="J162" s="116"/>
      <c r="K162" s="134"/>
    </row>
    <row r="163" spans="2:26" s="138" customFormat="1" ht="5.0999999999999996" hidden="1" customHeight="1" outlineLevel="3">
      <c r="B163" s="121"/>
      <c r="C163" s="122"/>
      <c r="D163" s="124">
        <v>4</v>
      </c>
      <c r="E163" s="124"/>
      <c r="F163" s="124"/>
      <c r="G163" s="191"/>
      <c r="H163" s="191"/>
      <c r="I163" s="125"/>
      <c r="J163" s="123"/>
      <c r="K163" s="137"/>
    </row>
    <row r="164" spans="2:26" ht="15" hidden="1" customHeight="1" outlineLevel="3">
      <c r="B164" s="115"/>
      <c r="C164" s="114"/>
      <c r="D164" s="119">
        <v>1</v>
      </c>
      <c r="E164" s="201" t="s">
        <v>175</v>
      </c>
      <c r="F164" s="192"/>
      <c r="G164" s="193" t="s">
        <v>100</v>
      </c>
      <c r="H164" s="193" t="s">
        <v>100</v>
      </c>
      <c r="I164" s="113"/>
      <c r="J164" s="116"/>
      <c r="K164" s="134"/>
    </row>
    <row r="165" spans="2:26" ht="15" hidden="1" customHeight="1" outlineLevel="3">
      <c r="B165" s="115"/>
      <c r="C165" s="114"/>
      <c r="D165" s="119">
        <v>2</v>
      </c>
      <c r="E165" s="202" t="s">
        <v>175</v>
      </c>
      <c r="F165" s="194" t="s">
        <v>153</v>
      </c>
      <c r="G165" s="195"/>
      <c r="H165" s="195"/>
      <c r="I165" s="113"/>
      <c r="J165" s="116"/>
      <c r="K165" s="134"/>
    </row>
    <row r="166" spans="2:26" ht="15" hidden="1" customHeight="1" outlineLevel="3">
      <c r="B166" s="115"/>
      <c r="C166" s="114"/>
      <c r="D166" s="119">
        <v>3</v>
      </c>
      <c r="E166" s="220" t="s">
        <v>175</v>
      </c>
      <c r="F166" s="218" t="s">
        <v>154</v>
      </c>
      <c r="G166" s="219"/>
      <c r="H166" s="240" t="s">
        <v>155</v>
      </c>
      <c r="I166" s="120"/>
      <c r="J166" s="116"/>
      <c r="K166" s="134"/>
    </row>
    <row r="167" spans="2:26" s="138" customFormat="1" ht="5.0999999999999996" hidden="1" customHeight="1" outlineLevel="3">
      <c r="B167" s="121"/>
      <c r="C167" s="122"/>
      <c r="D167" s="124">
        <v>4</v>
      </c>
      <c r="E167" s="204"/>
      <c r="F167" s="167"/>
      <c r="G167" s="191"/>
      <c r="H167" s="191"/>
      <c r="I167" s="125"/>
      <c r="J167" s="123"/>
      <c r="K167" s="137"/>
    </row>
    <row r="168" spans="2:26" ht="14.45" hidden="1" outlineLevel="2">
      <c r="B168" s="115"/>
      <c r="C168" s="114"/>
      <c r="D168" s="114"/>
      <c r="E168" s="114"/>
      <c r="F168" s="9"/>
      <c r="G168" s="9"/>
      <c r="H168" s="9"/>
      <c r="I168" s="9"/>
      <c r="J168" s="116"/>
    </row>
    <row r="169" spans="2:26" ht="14.45" hidden="1" outlineLevel="2">
      <c r="B169" s="115"/>
      <c r="C169" s="114"/>
      <c r="D169" s="114"/>
      <c r="E169" s="114"/>
      <c r="F169" s="46" t="s">
        <v>176</v>
      </c>
      <c r="G169" s="480">
        <v>62017712</v>
      </c>
      <c r="H169" s="480"/>
      <c r="I169" s="84"/>
      <c r="J169" s="116"/>
    </row>
    <row r="170" spans="2:26" ht="15" hidden="1" customHeight="1" outlineLevel="2">
      <c r="B170" s="115"/>
      <c r="C170" s="114"/>
      <c r="D170" s="114"/>
      <c r="E170" s="114"/>
      <c r="F170" s="81" t="s">
        <v>177</v>
      </c>
      <c r="G170" s="540" t="s">
        <v>178</v>
      </c>
      <c r="H170" s="552"/>
      <c r="I170" s="112"/>
      <c r="J170" s="116"/>
      <c r="L170" s="557" t="s">
        <v>179</v>
      </c>
      <c r="M170" s="558"/>
      <c r="N170" s="558"/>
      <c r="O170" s="558"/>
      <c r="P170" s="558"/>
      <c r="Q170" s="558"/>
      <c r="R170" s="558"/>
      <c r="S170" s="558"/>
      <c r="T170" s="558"/>
      <c r="U170" s="558"/>
      <c r="V170" s="558"/>
      <c r="W170" s="558"/>
      <c r="X170" s="558"/>
      <c r="Y170" s="558"/>
      <c r="Z170" s="700"/>
    </row>
    <row r="171" spans="2:26" ht="15" hidden="1" customHeight="1" outlineLevel="2">
      <c r="B171" s="115"/>
      <c r="C171" s="114"/>
      <c r="D171" s="114"/>
      <c r="E171" s="114"/>
      <c r="F171" s="81" t="s">
        <v>180</v>
      </c>
      <c r="G171" s="476" t="s">
        <v>181</v>
      </c>
      <c r="H171" s="508"/>
      <c r="I171" s="50"/>
      <c r="J171" s="116"/>
      <c r="K171" s="139" t="s">
        <v>182</v>
      </c>
      <c r="L171" s="558"/>
      <c r="M171" s="558"/>
      <c r="N171" s="558"/>
      <c r="O171" s="558"/>
      <c r="P171" s="558"/>
      <c r="Q171" s="558"/>
      <c r="R171" s="558"/>
      <c r="S171" s="558"/>
      <c r="T171" s="558"/>
      <c r="U171" s="558"/>
      <c r="V171" s="558"/>
      <c r="W171" s="558"/>
      <c r="X171" s="558"/>
      <c r="Y171" s="558"/>
      <c r="Z171" s="700"/>
    </row>
    <row r="172" spans="2:26" ht="15" hidden="1" customHeight="1" outlineLevel="2">
      <c r="B172" s="115"/>
      <c r="C172" s="114"/>
      <c r="D172" s="114"/>
      <c r="E172" s="114"/>
      <c r="F172" s="81" t="s">
        <v>183</v>
      </c>
      <c r="G172" s="476" t="s">
        <v>97</v>
      </c>
      <c r="H172" s="508"/>
      <c r="I172" s="50"/>
      <c r="J172" s="116"/>
      <c r="L172" s="558"/>
      <c r="M172" s="558"/>
      <c r="N172" s="558"/>
      <c r="O172" s="558"/>
      <c r="P172" s="558"/>
      <c r="Q172" s="558"/>
      <c r="R172" s="558"/>
      <c r="S172" s="558"/>
      <c r="T172" s="558"/>
      <c r="U172" s="558"/>
      <c r="V172" s="558"/>
      <c r="W172" s="558"/>
      <c r="X172" s="558"/>
      <c r="Y172" s="558"/>
      <c r="Z172" s="700"/>
    </row>
    <row r="173" spans="2:26" ht="7.5" hidden="1" customHeight="1" outlineLevel="2">
      <c r="B173" s="115"/>
      <c r="C173" s="114"/>
      <c r="D173" s="114"/>
      <c r="E173" s="114"/>
      <c r="F173" s="9"/>
      <c r="G173" s="9"/>
      <c r="H173"/>
      <c r="I173" s="50"/>
      <c r="J173" s="116"/>
    </row>
    <row r="174" spans="2:26" ht="15" hidden="1" customHeight="1" outlineLevel="2">
      <c r="B174" s="23"/>
      <c r="C174" s="9"/>
      <c r="D174" s="146"/>
      <c r="E174" s="146"/>
      <c r="F174" s="325" t="str">
        <f>IF(G172="&lt; enter time taken &gt;","",G172&amp;" minutes must be entered on the KPI sheet as a")</f>
        <v/>
      </c>
      <c r="G174" s="476" t="str">
        <f>IF(G172="&lt; enter time taken &gt;","","SUMMARY &amp; REPLY - SENT activity.")</f>
        <v/>
      </c>
      <c r="H174" s="530"/>
      <c r="I174" s="50"/>
      <c r="J174" s="26"/>
      <c r="K174" s="127"/>
    </row>
    <row r="175" spans="2:26" ht="21" hidden="1" customHeight="1" outlineLevel="2">
      <c r="B175" s="23"/>
      <c r="C175" s="9"/>
      <c r="D175" s="9"/>
      <c r="E175" s="161"/>
      <c r="F175" s="120"/>
      <c r="G175" s="162"/>
      <c r="H175" s="163"/>
      <c r="I175" s="50"/>
      <c r="J175" s="26"/>
      <c r="K175" s="134"/>
      <c r="L175" s="134"/>
      <c r="M175" s="134"/>
      <c r="N175" s="134"/>
      <c r="O175" s="134"/>
      <c r="P175" s="134"/>
      <c r="Q175" s="134"/>
      <c r="R175" s="134"/>
    </row>
    <row r="176" spans="2:26" ht="15" hidden="1" customHeight="1" outlineLevel="2">
      <c r="B176" s="115"/>
      <c r="C176" s="114"/>
      <c r="D176" s="114"/>
      <c r="E176" s="114"/>
      <c r="F176" s="81" t="s">
        <v>184</v>
      </c>
      <c r="G176" s="540" t="s">
        <v>185</v>
      </c>
      <c r="H176" s="552"/>
      <c r="I176" s="50"/>
      <c r="J176" s="116"/>
      <c r="L176" s="557" t="s">
        <v>179</v>
      </c>
      <c r="M176" s="558"/>
      <c r="N176" s="558"/>
      <c r="O176" s="558"/>
      <c r="P176" s="558"/>
      <c r="Q176" s="558"/>
      <c r="R176" s="558"/>
      <c r="S176" s="558"/>
      <c r="T176" s="558"/>
      <c r="U176" s="558"/>
      <c r="V176" s="558"/>
      <c r="W176" s="558"/>
      <c r="X176" s="558"/>
      <c r="Y176" s="558"/>
      <c r="Z176" s="700"/>
    </row>
    <row r="177" spans="2:26" ht="15" hidden="1" customHeight="1" outlineLevel="2">
      <c r="B177" s="115"/>
      <c r="C177" s="114"/>
      <c r="D177" s="114"/>
      <c r="E177" s="114"/>
      <c r="F177" s="81" t="s">
        <v>180</v>
      </c>
      <c r="G177" s="476" t="s">
        <v>181</v>
      </c>
      <c r="H177" s="508"/>
      <c r="I177" s="50"/>
      <c r="J177" s="116"/>
      <c r="K177" s="139" t="s">
        <v>182</v>
      </c>
      <c r="L177" s="558"/>
      <c r="M177" s="558"/>
      <c r="N177" s="558"/>
      <c r="O177" s="558"/>
      <c r="P177" s="558"/>
      <c r="Q177" s="558"/>
      <c r="R177" s="558"/>
      <c r="S177" s="558"/>
      <c r="T177" s="558"/>
      <c r="U177" s="558"/>
      <c r="V177" s="558"/>
      <c r="W177" s="558"/>
      <c r="X177" s="558"/>
      <c r="Y177" s="558"/>
      <c r="Z177" s="700"/>
    </row>
    <row r="178" spans="2:26" ht="15" hidden="1" customHeight="1" outlineLevel="2">
      <c r="B178" s="115"/>
      <c r="C178" s="114"/>
      <c r="D178" s="114"/>
      <c r="E178" s="114"/>
      <c r="F178" s="81" t="s">
        <v>186</v>
      </c>
      <c r="G178" s="476" t="s">
        <v>97</v>
      </c>
      <c r="H178" s="508"/>
      <c r="I178" s="50"/>
      <c r="J178" s="116"/>
      <c r="L178" s="558"/>
      <c r="M178" s="558"/>
      <c r="N178" s="558"/>
      <c r="O178" s="558"/>
      <c r="P178" s="558"/>
      <c r="Q178" s="558"/>
      <c r="R178" s="558"/>
      <c r="S178" s="558"/>
      <c r="T178" s="558"/>
      <c r="U178" s="558"/>
      <c r="V178" s="558"/>
      <c r="W178" s="558"/>
      <c r="X178" s="558"/>
      <c r="Y178" s="558"/>
      <c r="Z178" s="700"/>
    </row>
    <row r="179" spans="2:26" ht="7.5" hidden="1" customHeight="1" outlineLevel="2">
      <c r="B179" s="115"/>
      <c r="C179" s="114"/>
      <c r="D179" s="114"/>
      <c r="E179" s="114"/>
      <c r="F179" s="9"/>
      <c r="G179" s="9"/>
      <c r="H179"/>
      <c r="I179" s="50"/>
      <c r="J179" s="116"/>
    </row>
    <row r="180" spans="2:26" ht="15" hidden="1" customHeight="1" outlineLevel="2">
      <c r="B180" s="23"/>
      <c r="C180" s="9"/>
      <c r="D180" s="146"/>
      <c r="E180" s="146"/>
      <c r="F180" s="325" t="str">
        <f>IF(G178="&lt; enter time taken &gt;","",G178&amp;" minutes must be entered on the KPI sheet as a")</f>
        <v/>
      </c>
      <c r="G180" s="476" t="str">
        <f>IF(G178="&lt; enter time taken &gt;","","SUMMARY &amp; REPLY - RECEIVED activity.")</f>
        <v/>
      </c>
      <c r="H180" s="530"/>
      <c r="I180" s="50"/>
      <c r="J180" s="26"/>
      <c r="K180" s="127"/>
    </row>
    <row r="181" spans="2:26" ht="14.45" hidden="1" outlineLevel="2">
      <c r="B181" s="115"/>
      <c r="C181" s="114"/>
      <c r="D181" s="114"/>
      <c r="E181" s="114"/>
      <c r="F181" s="9"/>
      <c r="G181" s="9"/>
      <c r="H181" s="9"/>
      <c r="I181" s="9"/>
      <c r="J181" s="116"/>
    </row>
    <row r="182" spans="2:26" s="45" customFormat="1" ht="15.75" hidden="1" customHeight="1" outlineLevel="2">
      <c r="B182" s="115"/>
      <c r="C182" s="114"/>
      <c r="D182" s="114"/>
      <c r="E182" s="114"/>
      <c r="F182" s="81" t="s">
        <v>187</v>
      </c>
      <c r="G182" s="492" t="s">
        <v>135</v>
      </c>
      <c r="H182" s="534"/>
      <c r="I182" s="132"/>
      <c r="J182" s="116"/>
    </row>
    <row r="183" spans="2:26" s="45" customFormat="1" ht="15.75" hidden="1" customHeight="1" outlineLevel="2">
      <c r="B183" s="115"/>
      <c r="C183" s="114"/>
      <c r="D183" s="114"/>
      <c r="E183" s="114"/>
      <c r="F183" s="81"/>
      <c r="G183" s="82"/>
      <c r="H183" s="83"/>
      <c r="I183" s="83"/>
      <c r="J183" s="116"/>
    </row>
    <row r="184" spans="2:26" s="45" customFormat="1" ht="16.5" hidden="1" customHeight="1" outlineLevel="2">
      <c r="B184" s="28"/>
      <c r="C184" s="30"/>
      <c r="D184" s="30"/>
      <c r="E184" s="30"/>
      <c r="F184" s="32"/>
      <c r="G184" s="117"/>
      <c r="H184" s="117"/>
      <c r="I184" s="117"/>
      <c r="J184" s="31"/>
    </row>
    <row r="185" spans="2:26" ht="15" hidden="1" customHeight="1" outlineLevel="1" collapsed="1">
      <c r="B185" s="551" t="s">
        <v>188</v>
      </c>
      <c r="C185" s="703"/>
      <c r="D185" s="703"/>
      <c r="E185" s="703"/>
      <c r="F185" s="703"/>
      <c r="G185" s="703"/>
      <c r="H185" s="703"/>
      <c r="I185" s="703"/>
      <c r="J185" s="712"/>
    </row>
    <row r="186" spans="2:26" s="128" customFormat="1" ht="14.45" hidden="1" outlineLevel="2">
      <c r="B186" s="115"/>
      <c r="C186" s="114"/>
      <c r="D186" s="114"/>
      <c r="E186" s="114"/>
      <c r="F186" s="114"/>
      <c r="G186" s="114"/>
      <c r="H186" s="114"/>
      <c r="I186" s="50"/>
      <c r="J186" s="116"/>
    </row>
    <row r="187" spans="2:26" s="128" customFormat="1" ht="14.45" hidden="1" outlineLevel="2">
      <c r="B187" s="115"/>
      <c r="C187" s="114"/>
      <c r="D187" s="114"/>
      <c r="E187" s="114"/>
      <c r="F187" s="75" t="s">
        <v>189</v>
      </c>
      <c r="G187" s="147" t="s">
        <v>150</v>
      </c>
      <c r="H187" s="114"/>
      <c r="I187" s="50"/>
      <c r="J187" s="116"/>
    </row>
    <row r="188" spans="2:26" ht="14.45" hidden="1" outlineLevel="2">
      <c r="B188" s="115"/>
      <c r="C188" s="114"/>
      <c r="D188" s="114"/>
      <c r="E188" s="168" t="s">
        <v>190</v>
      </c>
      <c r="F188" s="169"/>
      <c r="G188" s="170" t="s">
        <v>100</v>
      </c>
      <c r="H188" s="114"/>
      <c r="I188" s="50"/>
      <c r="J188" s="116"/>
      <c r="K188" s="711"/>
      <c r="L188" s="711"/>
      <c r="M188" s="711"/>
      <c r="N188" s="711"/>
      <c r="O188" s="711"/>
      <c r="P188" s="711"/>
      <c r="Q188" s="711"/>
      <c r="R188" s="711"/>
    </row>
    <row r="189" spans="2:26" ht="14.45" hidden="1" outlineLevel="2">
      <c r="B189" s="115"/>
      <c r="C189" s="114"/>
      <c r="D189" s="114"/>
      <c r="E189" s="168" t="s">
        <v>191</v>
      </c>
      <c r="F189" s="169"/>
      <c r="G189" s="170" t="s">
        <v>100</v>
      </c>
      <c r="H189" s="114"/>
      <c r="I189" s="50"/>
      <c r="J189" s="116"/>
    </row>
    <row r="190" spans="2:26" ht="14.45" hidden="1" outlineLevel="2">
      <c r="B190" s="115"/>
      <c r="C190" s="114"/>
      <c r="D190" s="114"/>
      <c r="E190" s="168" t="s">
        <v>192</v>
      </c>
      <c r="F190" s="169"/>
      <c r="G190" s="170" t="s">
        <v>100</v>
      </c>
      <c r="H190" s="114"/>
      <c r="I190" s="50"/>
      <c r="J190" s="116"/>
    </row>
    <row r="191" spans="2:26" ht="14.45" hidden="1" outlineLevel="2">
      <c r="B191" s="115"/>
      <c r="C191" s="114"/>
      <c r="D191" s="114"/>
      <c r="E191" s="168" t="s">
        <v>193</v>
      </c>
      <c r="F191" s="169"/>
      <c r="G191" s="170" t="s">
        <v>100</v>
      </c>
      <c r="H191" s="114"/>
      <c r="I191" s="50"/>
      <c r="J191" s="116"/>
    </row>
    <row r="192" spans="2:26" ht="14.45" hidden="1" outlineLevel="2">
      <c r="B192" s="115"/>
      <c r="C192" s="114"/>
      <c r="D192" s="114"/>
      <c r="E192" s="168" t="s">
        <v>194</v>
      </c>
      <c r="F192" s="169"/>
      <c r="G192" s="170" t="s">
        <v>100</v>
      </c>
      <c r="H192" s="114"/>
      <c r="I192" s="50"/>
      <c r="J192" s="116"/>
    </row>
    <row r="193" spans="2:26" ht="14.45" hidden="1" outlineLevel="2">
      <c r="B193" s="115"/>
      <c r="C193" s="114"/>
      <c r="D193" s="114"/>
      <c r="E193" s="168" t="s">
        <v>195</v>
      </c>
      <c r="F193" s="169"/>
      <c r="G193" s="170" t="s">
        <v>100</v>
      </c>
      <c r="H193" s="114"/>
      <c r="I193" s="50"/>
      <c r="J193" s="116"/>
    </row>
    <row r="194" spans="2:26" ht="14.45" hidden="1" outlineLevel="2">
      <c r="B194" s="115"/>
      <c r="C194" s="114"/>
      <c r="D194" s="114"/>
      <c r="E194" s="168" t="s">
        <v>196</v>
      </c>
      <c r="F194" s="169"/>
      <c r="G194" s="170" t="s">
        <v>100</v>
      </c>
      <c r="H194" s="114"/>
      <c r="I194" s="50"/>
      <c r="J194" s="116"/>
    </row>
    <row r="195" spans="2:26" ht="14.45" hidden="1" outlineLevel="2">
      <c r="B195" s="115"/>
      <c r="C195" s="114"/>
      <c r="D195" s="114"/>
      <c r="E195" s="168" t="s">
        <v>197</v>
      </c>
      <c r="F195" s="169"/>
      <c r="G195" s="170" t="s">
        <v>100</v>
      </c>
      <c r="H195" s="114"/>
      <c r="I195" s="50"/>
      <c r="J195" s="116"/>
    </row>
    <row r="196" spans="2:26" ht="14.45" hidden="1" outlineLevel="2">
      <c r="B196" s="115"/>
      <c r="C196" s="114"/>
      <c r="D196" s="114"/>
      <c r="E196" s="168" t="s">
        <v>198</v>
      </c>
      <c r="F196" s="169"/>
      <c r="G196" s="170" t="s">
        <v>100</v>
      </c>
      <c r="H196" s="114"/>
      <c r="I196" s="50"/>
      <c r="J196" s="116"/>
      <c r="K196" s="564" t="s">
        <v>199</v>
      </c>
      <c r="L196" s="565"/>
      <c r="M196" s="565"/>
      <c r="N196" s="565"/>
      <c r="O196" s="565"/>
      <c r="P196" s="565"/>
      <c r="Q196" s="565"/>
      <c r="R196" s="565"/>
      <c r="S196" s="700"/>
      <c r="T196" s="700"/>
      <c r="U196" s="700"/>
    </row>
    <row r="197" spans="2:26" ht="14.45" hidden="1" outlineLevel="2">
      <c r="B197" s="115"/>
      <c r="C197" s="114"/>
      <c r="D197" s="114"/>
      <c r="E197" s="168" t="s">
        <v>200</v>
      </c>
      <c r="F197" s="169"/>
      <c r="G197" s="171" t="s">
        <v>100</v>
      </c>
      <c r="H197" s="114"/>
      <c r="I197" s="50"/>
      <c r="J197" s="116"/>
      <c r="K197" s="566"/>
      <c r="L197" s="565"/>
      <c r="M197" s="565"/>
      <c r="N197" s="565"/>
      <c r="O197" s="565"/>
      <c r="P197" s="565"/>
      <c r="Q197" s="565"/>
      <c r="R197" s="565"/>
      <c r="S197" s="700"/>
      <c r="T197" s="700"/>
      <c r="U197" s="700"/>
    </row>
    <row r="198" spans="2:26" ht="14.45" hidden="1" outlineLevel="2">
      <c r="B198" s="115"/>
      <c r="C198" s="114"/>
      <c r="D198" s="114"/>
      <c r="E198" s="114"/>
      <c r="F198" s="9"/>
      <c r="G198" s="9"/>
      <c r="H198" s="9"/>
      <c r="I198" s="50"/>
      <c r="J198" s="116"/>
    </row>
    <row r="199" spans="2:26" ht="14.45" hidden="1" outlineLevel="2">
      <c r="B199" s="115"/>
      <c r="C199" s="114"/>
      <c r="D199" s="114"/>
      <c r="E199" s="114"/>
      <c r="F199" s="46" t="s">
        <v>201</v>
      </c>
      <c r="G199" s="480">
        <v>62017740</v>
      </c>
      <c r="H199" s="556"/>
      <c r="I199" s="50"/>
      <c r="J199" s="116"/>
      <c r="L199" s="557" t="s">
        <v>179</v>
      </c>
      <c r="M199" s="558"/>
      <c r="N199" s="558"/>
      <c r="O199" s="558"/>
      <c r="P199" s="558"/>
      <c r="Q199" s="558"/>
      <c r="R199" s="558"/>
      <c r="S199" s="558"/>
      <c r="T199" s="558"/>
      <c r="U199" s="558"/>
      <c r="V199" s="558"/>
      <c r="W199" s="558"/>
      <c r="X199" s="558"/>
      <c r="Y199" s="558"/>
      <c r="Z199" s="700"/>
    </row>
    <row r="200" spans="2:26" ht="15" hidden="1" customHeight="1" outlineLevel="2">
      <c r="B200" s="115"/>
      <c r="C200" s="114"/>
      <c r="D200" s="114"/>
      <c r="E200" s="114"/>
      <c r="F200" s="81" t="s">
        <v>180</v>
      </c>
      <c r="G200" s="476" t="s">
        <v>181</v>
      </c>
      <c r="H200" s="508"/>
      <c r="I200" s="50"/>
      <c r="J200" s="116"/>
      <c r="K200" s="139" t="s">
        <v>182</v>
      </c>
      <c r="L200" s="558"/>
      <c r="M200" s="558"/>
      <c r="N200" s="558"/>
      <c r="O200" s="558"/>
      <c r="P200" s="558"/>
      <c r="Q200" s="558"/>
      <c r="R200" s="558"/>
      <c r="S200" s="558"/>
      <c r="T200" s="558"/>
      <c r="U200" s="558"/>
      <c r="V200" s="558"/>
      <c r="W200" s="558"/>
      <c r="X200" s="558"/>
      <c r="Y200" s="558"/>
      <c r="Z200" s="700"/>
    </row>
    <row r="201" spans="2:26" ht="15" hidden="1" customHeight="1" outlineLevel="2">
      <c r="B201" s="115"/>
      <c r="C201" s="114"/>
      <c r="D201" s="114"/>
      <c r="E201" s="114"/>
      <c r="F201" s="81" t="s">
        <v>202</v>
      </c>
      <c r="G201" s="476" t="s">
        <v>97</v>
      </c>
      <c r="H201" s="508"/>
      <c r="I201" s="50"/>
      <c r="J201" s="116"/>
      <c r="L201" s="558"/>
      <c r="M201" s="558"/>
      <c r="N201" s="558"/>
      <c r="O201" s="558"/>
      <c r="P201" s="558"/>
      <c r="Q201" s="558"/>
      <c r="R201" s="558"/>
      <c r="S201" s="558"/>
      <c r="T201" s="558"/>
      <c r="U201" s="558"/>
      <c r="V201" s="558"/>
      <c r="W201" s="558"/>
      <c r="X201" s="558"/>
      <c r="Y201" s="558"/>
      <c r="Z201" s="700"/>
    </row>
    <row r="202" spans="2:26" ht="14.45" hidden="1" outlineLevel="2">
      <c r="B202" s="115"/>
      <c r="C202" s="114"/>
      <c r="D202" s="114"/>
      <c r="E202" s="114"/>
      <c r="F202" s="9"/>
      <c r="G202" s="9"/>
      <c r="H202" s="9"/>
      <c r="I202" s="50"/>
      <c r="J202" s="116"/>
    </row>
    <row r="203" spans="2:26" ht="15" hidden="1" customHeight="1" outlineLevel="2">
      <c r="B203" s="23"/>
      <c r="C203" s="9"/>
      <c r="D203" s="146"/>
      <c r="E203" s="146"/>
      <c r="F203" s="325" t="str">
        <f>IF(G201="&lt; enter time taken &gt;","",G201&amp;" minutes must be entered on the KPI sheet as a")</f>
        <v/>
      </c>
      <c r="G203" s="476" t="str">
        <f>IF(G201="&lt; enter time taken &gt;","","FINAL SUMMARY PROPOSAL activity.")</f>
        <v/>
      </c>
      <c r="H203" s="530"/>
      <c r="I203" s="50"/>
      <c r="J203" s="26"/>
      <c r="K203" s="127"/>
    </row>
    <row r="204" spans="2:26" ht="14.45" hidden="1" outlineLevel="2">
      <c r="B204" s="115"/>
      <c r="C204" s="114"/>
      <c r="D204" s="114"/>
      <c r="E204" s="114"/>
      <c r="F204" s="9"/>
      <c r="G204" s="9"/>
      <c r="H204" s="9"/>
      <c r="I204" s="9"/>
      <c r="J204" s="116"/>
    </row>
    <row r="205" spans="2:26" s="45" customFormat="1" ht="15.75" hidden="1" customHeight="1" outlineLevel="2">
      <c r="B205" s="115"/>
      <c r="C205" s="114"/>
      <c r="D205" s="114"/>
      <c r="E205" s="114"/>
      <c r="F205" s="81" t="s">
        <v>203</v>
      </c>
      <c r="G205" s="492" t="s">
        <v>135</v>
      </c>
      <c r="H205" s="534"/>
      <c r="I205" s="9"/>
      <c r="J205" s="116"/>
    </row>
    <row r="206" spans="2:26" s="45" customFormat="1" ht="15.75" hidden="1" customHeight="1" outlineLevel="2">
      <c r="B206" s="115"/>
      <c r="C206" s="114"/>
      <c r="D206" s="114"/>
      <c r="E206" s="114"/>
      <c r="F206" s="81"/>
      <c r="G206" s="82"/>
      <c r="H206" s="83"/>
      <c r="I206" s="9"/>
      <c r="J206" s="116"/>
    </row>
    <row r="207" spans="2:26" s="45" customFormat="1" ht="13.5" hidden="1" customHeight="1" outlineLevel="2">
      <c r="B207" s="115"/>
      <c r="F207" s="29"/>
      <c r="G207" s="33"/>
      <c r="H207" s="33"/>
      <c r="J207" s="116"/>
    </row>
    <row r="208" spans="2:26" ht="15" hidden="1" customHeight="1" outlineLevel="1" collapsed="1">
      <c r="B208" s="537" t="s">
        <v>204</v>
      </c>
      <c r="C208" s="702"/>
      <c r="D208" s="702"/>
      <c r="E208" s="702"/>
      <c r="F208" s="702"/>
      <c r="G208" s="702"/>
      <c r="H208" s="702"/>
      <c r="I208" s="702"/>
      <c r="J208" s="704"/>
    </row>
    <row r="209" spans="2:26" s="45" customFormat="1" ht="13.5" hidden="1" customHeight="1" outlineLevel="2">
      <c r="B209" s="115"/>
      <c r="C209" s="114"/>
      <c r="D209" s="114"/>
      <c r="E209" s="114"/>
      <c r="F209" s="81"/>
      <c r="G209" s="131"/>
      <c r="H209" s="131"/>
      <c r="I209" s="50"/>
      <c r="J209" s="116"/>
    </row>
    <row r="210" spans="2:26" ht="15" hidden="1" customHeight="1" outlineLevel="2">
      <c r="B210" s="115"/>
      <c r="C210" s="114"/>
      <c r="D210" s="114"/>
      <c r="E210" s="114"/>
      <c r="F210" s="81" t="s">
        <v>205</v>
      </c>
      <c r="G210" s="540" t="s">
        <v>206</v>
      </c>
      <c r="H210" s="713"/>
      <c r="I210" s="50"/>
      <c r="J210" s="116"/>
    </row>
    <row r="211" spans="2:26" ht="15" hidden="1" customHeight="1" outlineLevel="2">
      <c r="B211" s="115"/>
      <c r="C211" s="114"/>
      <c r="D211" s="114"/>
      <c r="E211" s="146"/>
      <c r="F211" s="81" t="s">
        <v>207</v>
      </c>
      <c r="G211" s="133" t="s">
        <v>208</v>
      </c>
      <c r="H211" s="9"/>
      <c r="I211" s="50"/>
      <c r="J211" s="116"/>
    </row>
    <row r="212" spans="2:26" ht="15" hidden="1" customHeight="1" outlineLevel="2">
      <c r="B212" s="115"/>
      <c r="C212" s="114"/>
      <c r="D212" s="114"/>
      <c r="E212" s="9"/>
      <c r="F212" s="9"/>
      <c r="G212" s="133" t="s">
        <v>208</v>
      </c>
      <c r="H212" s="9"/>
      <c r="I212" s="50"/>
      <c r="J212" s="116"/>
    </row>
    <row r="213" spans="2:26" ht="15" hidden="1" customHeight="1" outlineLevel="2">
      <c r="B213" s="115"/>
      <c r="C213" s="114"/>
      <c r="D213" s="114"/>
      <c r="E213" s="9"/>
      <c r="F213" s="9"/>
      <c r="G213" s="133" t="s">
        <v>208</v>
      </c>
      <c r="H213" s="9"/>
      <c r="I213" s="50"/>
      <c r="J213" s="116"/>
    </row>
    <row r="214" spans="2:26" ht="15" hidden="1" customHeight="1" outlineLevel="2">
      <c r="B214" s="115"/>
      <c r="C214" s="114"/>
      <c r="D214" s="114"/>
      <c r="E214" s="9"/>
      <c r="F214" s="9"/>
      <c r="G214" s="133" t="s">
        <v>208</v>
      </c>
      <c r="H214" s="9"/>
      <c r="I214" s="50"/>
      <c r="J214" s="116"/>
    </row>
    <row r="215" spans="2:26" ht="15" hidden="1" customHeight="1" outlineLevel="2">
      <c r="B215" s="115"/>
      <c r="C215" s="114"/>
      <c r="D215" s="114"/>
      <c r="E215" s="9"/>
      <c r="F215" s="9"/>
      <c r="G215" s="133" t="s">
        <v>208</v>
      </c>
      <c r="H215" s="9"/>
      <c r="I215" s="50"/>
      <c r="J215" s="116"/>
    </row>
    <row r="216" spans="2:26" ht="14.45" hidden="1" outlineLevel="2">
      <c r="B216" s="115"/>
      <c r="C216" s="114"/>
      <c r="D216" s="114"/>
      <c r="E216" s="550" t="s">
        <v>209</v>
      </c>
      <c r="F216" s="714"/>
      <c r="G216" s="9"/>
      <c r="H216" s="9"/>
      <c r="I216" s="50"/>
      <c r="J216" s="116"/>
    </row>
    <row r="217" spans="2:26" ht="15" hidden="1" customHeight="1" outlineLevel="2">
      <c r="B217" s="115"/>
      <c r="C217" s="114"/>
      <c r="D217" s="114"/>
      <c r="E217" s="168" t="s">
        <v>210</v>
      </c>
      <c r="F217" s="169"/>
      <c r="G217" s="172"/>
      <c r="H217" s="172"/>
      <c r="I217" s="50"/>
      <c r="J217" s="116"/>
    </row>
    <row r="218" spans="2:26" ht="14.45" hidden="1" outlineLevel="2">
      <c r="B218" s="115"/>
      <c r="C218" s="114"/>
      <c r="D218" s="114"/>
      <c r="E218" s="168" t="s">
        <v>211</v>
      </c>
      <c r="F218" s="169"/>
      <c r="G218"/>
      <c r="H218"/>
      <c r="I218" s="50"/>
      <c r="J218" s="116"/>
      <c r="K218" s="711"/>
      <c r="L218" s="711"/>
      <c r="M218" s="711"/>
      <c r="N218" s="711"/>
      <c r="O218" s="711"/>
      <c r="P218" s="711"/>
      <c r="Q218" s="711"/>
      <c r="R218" s="711"/>
    </row>
    <row r="219" spans="2:26" ht="14.45" hidden="1" outlineLevel="2">
      <c r="B219" s="115"/>
      <c r="C219" s="114"/>
      <c r="D219" s="114"/>
      <c r="E219" s="168" t="s">
        <v>212</v>
      </c>
      <c r="F219" s="169"/>
      <c r="G219" s="9"/>
      <c r="H219" s="9"/>
      <c r="I219" s="50"/>
      <c r="J219" s="116"/>
    </row>
    <row r="220" spans="2:26" ht="14.45" hidden="1" outlineLevel="2">
      <c r="B220" s="115"/>
      <c r="C220" s="114"/>
      <c r="D220" s="114"/>
      <c r="E220" s="168" t="s">
        <v>213</v>
      </c>
      <c r="F220" s="169"/>
      <c r="G220" s="9"/>
      <c r="H220" s="9"/>
      <c r="I220" s="50"/>
      <c r="J220" s="116"/>
    </row>
    <row r="221" spans="2:26" ht="14.45" hidden="1" outlineLevel="2">
      <c r="B221" s="115"/>
      <c r="C221" s="114"/>
      <c r="D221" s="114"/>
      <c r="E221" s="168" t="s">
        <v>214</v>
      </c>
      <c r="F221" s="169"/>
      <c r="G221" s="9"/>
      <c r="H221" s="9"/>
      <c r="I221" s="50"/>
      <c r="J221" s="116"/>
      <c r="K221" s="564" t="s">
        <v>199</v>
      </c>
      <c r="L221" s="565"/>
      <c r="M221" s="565"/>
      <c r="N221" s="565"/>
      <c r="O221" s="565"/>
      <c r="P221" s="565"/>
      <c r="Q221" s="565"/>
      <c r="R221" s="565"/>
      <c r="S221" s="700"/>
      <c r="T221" s="700"/>
      <c r="U221" s="700"/>
    </row>
    <row r="222" spans="2:26" ht="14.45" hidden="1" outlineLevel="2">
      <c r="B222" s="115"/>
      <c r="C222" s="114"/>
      <c r="D222" s="114"/>
      <c r="E222" s="168" t="s">
        <v>215</v>
      </c>
      <c r="F222" s="169"/>
      <c r="G222" s="9"/>
      <c r="H222" s="9"/>
      <c r="I222" s="50"/>
      <c r="J222" s="116"/>
      <c r="K222" s="566"/>
      <c r="L222" s="565"/>
      <c r="M222" s="565"/>
      <c r="N222" s="565"/>
      <c r="O222" s="565"/>
      <c r="P222" s="565"/>
      <c r="Q222" s="565"/>
      <c r="R222" s="565"/>
      <c r="S222" s="700"/>
      <c r="T222" s="700"/>
      <c r="U222" s="700"/>
    </row>
    <row r="223" spans="2:26" ht="14.45" hidden="1" outlineLevel="2">
      <c r="B223" s="115"/>
      <c r="C223" s="114"/>
      <c r="D223" s="114"/>
      <c r="E223" s="9"/>
      <c r="F223" s="9"/>
      <c r="G223" s="9"/>
      <c r="H223" s="9"/>
      <c r="I223" s="50"/>
      <c r="J223" s="116"/>
    </row>
    <row r="224" spans="2:26" ht="14.45" hidden="1" outlineLevel="2">
      <c r="B224" s="115"/>
      <c r="C224" s="114"/>
      <c r="D224" s="114"/>
      <c r="E224" s="9"/>
      <c r="F224" s="46" t="s">
        <v>216</v>
      </c>
      <c r="G224" s="480">
        <v>62018225</v>
      </c>
      <c r="H224" s="480"/>
      <c r="I224" s="50"/>
      <c r="J224" s="116"/>
      <c r="L224" s="557" t="s">
        <v>179</v>
      </c>
      <c r="M224" s="558"/>
      <c r="N224" s="558"/>
      <c r="O224" s="558"/>
      <c r="P224" s="558"/>
      <c r="Q224" s="558"/>
      <c r="R224" s="558"/>
      <c r="S224" s="558"/>
      <c r="T224" s="558"/>
      <c r="U224" s="558"/>
      <c r="V224" s="558"/>
      <c r="W224" s="558"/>
      <c r="X224" s="558"/>
      <c r="Y224" s="558"/>
      <c r="Z224" s="700"/>
    </row>
    <row r="225" spans="2:26" ht="15" hidden="1" customHeight="1" outlineLevel="2">
      <c r="B225" s="115"/>
      <c r="C225" s="114"/>
      <c r="D225" s="114"/>
      <c r="E225"/>
      <c r="F225" s="81" t="s">
        <v>180</v>
      </c>
      <c r="G225" s="476" t="s">
        <v>181</v>
      </c>
      <c r="H225" s="508"/>
      <c r="I225" s="50"/>
      <c r="J225" s="116"/>
      <c r="K225" s="139" t="s">
        <v>182</v>
      </c>
      <c r="L225" s="558"/>
      <c r="M225" s="558"/>
      <c r="N225" s="558"/>
      <c r="O225" s="558"/>
      <c r="P225" s="558"/>
      <c r="Q225" s="558"/>
      <c r="R225" s="558"/>
      <c r="S225" s="558"/>
      <c r="T225" s="558"/>
      <c r="U225" s="558"/>
      <c r="V225" s="558"/>
      <c r="W225" s="558"/>
      <c r="X225" s="558"/>
      <c r="Y225" s="558"/>
      <c r="Z225" s="700"/>
    </row>
    <row r="226" spans="2:26" ht="15" hidden="1" customHeight="1" outlineLevel="2">
      <c r="B226" s="115"/>
      <c r="C226" s="114"/>
      <c r="D226" s="114"/>
      <c r="E226"/>
      <c r="F226" s="81" t="s">
        <v>217</v>
      </c>
      <c r="G226" s="476" t="s">
        <v>97</v>
      </c>
      <c r="H226" s="508"/>
      <c r="I226" s="50"/>
      <c r="J226" s="116"/>
      <c r="L226" s="558"/>
      <c r="M226" s="558"/>
      <c r="N226" s="558"/>
      <c r="O226" s="558"/>
      <c r="P226" s="558"/>
      <c r="Q226" s="558"/>
      <c r="R226" s="558"/>
      <c r="S226" s="558"/>
      <c r="T226" s="558"/>
      <c r="U226" s="558"/>
      <c r="V226" s="558"/>
      <c r="W226" s="558"/>
      <c r="X226" s="558"/>
      <c r="Y226" s="558"/>
      <c r="Z226" s="700"/>
    </row>
    <row r="227" spans="2:26" ht="14.45" hidden="1" outlineLevel="2">
      <c r="B227" s="115"/>
      <c r="C227" s="114"/>
      <c r="D227" s="114"/>
      <c r="E227" s="114"/>
      <c r="F227" s="9"/>
      <c r="G227" s="9"/>
      <c r="H227" s="9"/>
      <c r="I227" s="50"/>
      <c r="J227" s="116"/>
    </row>
    <row r="228" spans="2:26" ht="15" hidden="1" customHeight="1" outlineLevel="2">
      <c r="B228" s="23"/>
      <c r="C228" s="9"/>
      <c r="D228" s="146"/>
      <c r="E228" s="146"/>
      <c r="F228" s="325" t="str">
        <f>IF(G226="&lt; enter time taken &gt;","",G226&amp;" minutes must be entered on the KPI sheet as a")</f>
        <v/>
      </c>
      <c r="G228" s="476" t="str">
        <f>IF(G226="&lt; enter time taken &gt;","","FINAL RECOMMENDATION activity.")</f>
        <v/>
      </c>
      <c r="H228" s="530"/>
      <c r="I228" s="50"/>
      <c r="J228" s="26"/>
      <c r="K228" s="127"/>
    </row>
    <row r="229" spans="2:26" ht="14.45" hidden="1" outlineLevel="2">
      <c r="B229" s="115"/>
      <c r="C229" s="114"/>
      <c r="D229" s="114"/>
      <c r="E229"/>
      <c r="F229" s="9"/>
      <c r="G229" s="9"/>
      <c r="H229" s="9"/>
      <c r="I229" s="50"/>
      <c r="J229" s="116"/>
    </row>
    <row r="230" spans="2:26" s="45" customFormat="1" ht="13.5" hidden="1" customHeight="1" outlineLevel="2">
      <c r="B230" s="115"/>
      <c r="C230" s="114"/>
      <c r="D230" s="114"/>
      <c r="E230" s="114"/>
      <c r="F230" s="81" t="s">
        <v>218</v>
      </c>
      <c r="G230" s="492" t="s">
        <v>135</v>
      </c>
      <c r="H230" s="534"/>
      <c r="I230" s="50"/>
      <c r="J230" s="116"/>
    </row>
    <row r="231" spans="2:26" s="45" customFormat="1" ht="13.5" hidden="1" customHeight="1" outlineLevel="2">
      <c r="B231" s="115"/>
      <c r="C231" s="114"/>
      <c r="D231" s="114"/>
      <c r="E231" s="114"/>
      <c r="F231" s="81"/>
      <c r="G231" s="82"/>
      <c r="H231" s="83"/>
      <c r="I231" s="50"/>
      <c r="J231" s="116"/>
    </row>
    <row r="232" spans="2:26" s="45" customFormat="1" ht="14.45" hidden="1" outlineLevel="2">
      <c r="B232" s="115"/>
      <c r="F232" s="29"/>
      <c r="G232" s="33"/>
      <c r="H232" s="33"/>
      <c r="J232" s="116"/>
    </row>
    <row r="233" spans="2:26" ht="15" hidden="1" customHeight="1" outlineLevel="1" collapsed="1">
      <c r="B233" s="537" t="s">
        <v>219</v>
      </c>
      <c r="C233" s="702"/>
      <c r="D233" s="702"/>
      <c r="E233" s="702"/>
      <c r="F233" s="702"/>
      <c r="G233" s="702"/>
      <c r="H233" s="702"/>
      <c r="I233" s="702"/>
      <c r="J233" s="704"/>
    </row>
    <row r="234" spans="2:26" s="45" customFormat="1" ht="14.45" hidden="1" outlineLevel="2">
      <c r="B234" s="115"/>
      <c r="C234" s="50"/>
      <c r="D234" s="50"/>
      <c r="E234" s="50"/>
      <c r="F234" s="50"/>
      <c r="G234" s="50"/>
      <c r="H234" s="50"/>
      <c r="I234" s="50"/>
      <c r="J234" s="116"/>
    </row>
    <row r="235" spans="2:26" ht="14.45" hidden="1" outlineLevel="2">
      <c r="B235" s="115"/>
      <c r="C235" s="50"/>
      <c r="D235" s="9"/>
      <c r="E235" s="545" t="s">
        <v>220</v>
      </c>
      <c r="F235" s="715"/>
      <c r="G235" s="9"/>
      <c r="H235" s="9"/>
      <c r="I235" s="50"/>
      <c r="J235" s="116"/>
    </row>
    <row r="236" spans="2:26" ht="15" hidden="1" customHeight="1" outlineLevel="2">
      <c r="B236" s="115"/>
      <c r="C236" s="50"/>
      <c r="D236" s="9"/>
      <c r="E236" s="173" t="s">
        <v>59</v>
      </c>
      <c r="F236" s="174" t="s">
        <v>221</v>
      </c>
      <c r="G236" s="175"/>
      <c r="H236" s="175"/>
      <c r="I236" s="50"/>
      <c r="J236" s="116"/>
    </row>
    <row r="237" spans="2:26" ht="14.45" hidden="1" outlineLevel="2">
      <c r="B237" s="115"/>
      <c r="C237" s="50"/>
      <c r="D237" s="175"/>
      <c r="E237" s="173" t="s">
        <v>59</v>
      </c>
      <c r="F237" s="174" t="s">
        <v>221</v>
      </c>
      <c r="G237" s="175"/>
      <c r="H237" s="175"/>
      <c r="I237" s="50"/>
      <c r="J237" s="116"/>
    </row>
    <row r="238" spans="2:26" ht="14.45" hidden="1" outlineLevel="2">
      <c r="B238" s="115"/>
      <c r="C238" s="50"/>
      <c r="D238" s="175"/>
      <c r="E238" s="173" t="s">
        <v>59</v>
      </c>
      <c r="F238" s="174" t="s">
        <v>221</v>
      </c>
      <c r="G238" s="175"/>
      <c r="H238" s="175"/>
      <c r="I238" s="50"/>
      <c r="J238" s="116"/>
    </row>
    <row r="239" spans="2:26" ht="14.45" hidden="1" outlineLevel="2">
      <c r="B239" s="115"/>
      <c r="C239" s="50"/>
      <c r="D239" s="175"/>
      <c r="E239" s="175"/>
      <c r="F239" s="175"/>
      <c r="G239" s="175"/>
      <c r="H239" s="175"/>
      <c r="I239" s="50"/>
      <c r="J239" s="116"/>
    </row>
    <row r="240" spans="2:26" ht="24" hidden="1" customHeight="1" outlineLevel="2">
      <c r="B240" s="115"/>
      <c r="C240" s="50"/>
      <c r="D240" s="9"/>
      <c r="E240" s="9"/>
      <c r="F240" s="78" t="s">
        <v>222</v>
      </c>
      <c r="G240" s="9"/>
      <c r="H240" s="9"/>
      <c r="I240" s="50"/>
      <c r="J240" s="116"/>
    </row>
    <row r="241" spans="2:21" ht="14.45" hidden="1" outlineLevel="2">
      <c r="B241" s="115"/>
      <c r="C241" s="50"/>
      <c r="D241" s="77"/>
      <c r="E241" s="176" t="str">
        <f>IF(F241&lt;&gt;"","5.1","")</f>
        <v/>
      </c>
      <c r="F241" s="79" t="str">
        <f>IF($F$240="&lt; Make selection here &gt;","",IF($F$240="I reject the final recommendation made by the Review Team.","&lt; enter reason/s for rejection &gt;",IF(OR($F$240="I conditionally approve the final recommendation but the following items need to be suitably addressed by the proponent first:",$F$240="I approve the final recommendation made by the Review Team, but with the following conditions:"),"&lt; enter additional conditions &gt;","")))</f>
        <v/>
      </c>
      <c r="G241" s="77"/>
      <c r="H241" s="77"/>
      <c r="I241" s="50"/>
      <c r="J241" s="116"/>
      <c r="K241" s="711"/>
      <c r="L241" s="711"/>
      <c r="M241" s="711"/>
      <c r="N241" s="711"/>
      <c r="O241" s="711"/>
      <c r="P241" s="711"/>
      <c r="Q241" s="711"/>
      <c r="R241" s="711"/>
    </row>
    <row r="242" spans="2:21" ht="14.45" hidden="1" outlineLevel="2">
      <c r="B242" s="115"/>
      <c r="C242" s="50"/>
      <c r="D242" s="77"/>
      <c r="E242" s="176" t="str">
        <f>IF(F242&lt;&gt;"","5.2","")</f>
        <v/>
      </c>
      <c r="F242" s="79" t="str">
        <f t="shared" ref="F242:F244" si="0">IF($F$240="&lt; Make selection here &gt;","",IF($F$240="I reject the final recommendation made by the Review Team.","&lt; enter reason/s for rejection &gt;",IF(OR($F$240="I conditionally approve the final recommendation but the following items need to be suitably addressed by the proponent first:",$F$240="I approve the final recommendation made by the Review Team, but with the following conditions:"),"&lt; enter additional conditions &gt;","")))</f>
        <v/>
      </c>
      <c r="G242" s="77"/>
      <c r="H242" s="77"/>
      <c r="I242" s="50"/>
      <c r="J242" s="116"/>
    </row>
    <row r="243" spans="2:21" ht="14.45" hidden="1" outlineLevel="2">
      <c r="B243" s="115"/>
      <c r="C243" s="50"/>
      <c r="D243" s="77"/>
      <c r="E243" s="176" t="str">
        <f>IF(F243&lt;&gt;"","5.3","")</f>
        <v/>
      </c>
      <c r="F243" s="79" t="str">
        <f t="shared" si="0"/>
        <v/>
      </c>
      <c r="G243" s="77"/>
      <c r="H243" s="77"/>
      <c r="I243" s="50"/>
      <c r="J243" s="116"/>
      <c r="K243" s="564" t="s">
        <v>199</v>
      </c>
      <c r="L243" s="565"/>
      <c r="M243" s="565"/>
      <c r="N243" s="565"/>
      <c r="O243" s="565"/>
      <c r="P243" s="565"/>
      <c r="Q243" s="565"/>
      <c r="R243" s="565"/>
      <c r="S243" s="700"/>
      <c r="T243" s="700"/>
      <c r="U243" s="700"/>
    </row>
    <row r="244" spans="2:21" ht="14.45" hidden="1" outlineLevel="2">
      <c r="B244" s="115"/>
      <c r="C244" s="50"/>
      <c r="D244" s="77"/>
      <c r="E244" s="176" t="str">
        <f>IF(F244&lt;&gt;"","5.4","")</f>
        <v/>
      </c>
      <c r="F244" s="79" t="str">
        <f t="shared" si="0"/>
        <v/>
      </c>
      <c r="G244" s="77"/>
      <c r="H244" s="77"/>
      <c r="I244" s="50"/>
      <c r="J244" s="116"/>
      <c r="K244" s="566"/>
      <c r="L244" s="565"/>
      <c r="M244" s="565"/>
      <c r="N244" s="565"/>
      <c r="O244" s="565"/>
      <c r="P244" s="565"/>
      <c r="Q244" s="565"/>
      <c r="R244" s="565"/>
      <c r="S244" s="700"/>
      <c r="T244" s="700"/>
      <c r="U244" s="700"/>
    </row>
    <row r="245" spans="2:21" ht="14.45" hidden="1" outlineLevel="2">
      <c r="B245" s="115"/>
      <c r="C245" s="50"/>
      <c r="D245" s="9"/>
      <c r="E245"/>
      <c r="F245" s="9"/>
      <c r="G245" s="9"/>
      <c r="H245" s="9"/>
      <c r="I245" s="50"/>
      <c r="J245" s="116"/>
    </row>
    <row r="246" spans="2:21" ht="14.45" hidden="1" outlineLevel="2">
      <c r="B246" s="115"/>
      <c r="C246" s="50"/>
      <c r="D246" s="9"/>
      <c r="E246"/>
      <c r="F246" s="80" t="s">
        <v>223</v>
      </c>
      <c r="G246" s="250" t="s">
        <v>224</v>
      </c>
      <c r="H246" s="9"/>
      <c r="I246" s="50"/>
      <c r="J246" s="116"/>
    </row>
    <row r="247" spans="2:21" ht="15" hidden="1" customHeight="1" outlineLevel="2">
      <c r="B247" s="115"/>
      <c r="C247" s="50"/>
      <c r="D247"/>
      <c r="E247"/>
      <c r="F247" s="81" t="s">
        <v>225</v>
      </c>
      <c r="G247" s="476" t="s">
        <v>97</v>
      </c>
      <c r="H247" s="508"/>
      <c r="I247" s="50"/>
      <c r="J247" s="116"/>
    </row>
    <row r="248" spans="2:21" ht="15" hidden="1" customHeight="1" outlineLevel="2">
      <c r="B248" s="115"/>
      <c r="C248" s="50"/>
      <c r="D248" s="9"/>
      <c r="E248"/>
      <c r="F248" s="81" t="s">
        <v>226</v>
      </c>
      <c r="G248" s="540" t="s">
        <v>227</v>
      </c>
      <c r="H248" s="713"/>
      <c r="I248" s="50"/>
      <c r="J248" s="116"/>
      <c r="L248" s="140"/>
    </row>
    <row r="249" spans="2:21" ht="14.45" hidden="1" outlineLevel="2">
      <c r="B249" s="115"/>
      <c r="C249" s="114"/>
      <c r="D249" s="114"/>
      <c r="E249" s="114"/>
      <c r="F249" s="9"/>
      <c r="G249" s="9"/>
      <c r="H249" s="9"/>
      <c r="I249" s="50"/>
      <c r="J249" s="116"/>
    </row>
    <row r="250" spans="2:21" ht="15" hidden="1" customHeight="1" outlineLevel="2">
      <c r="B250" s="23"/>
      <c r="C250" s="9"/>
      <c r="D250" s="146"/>
      <c r="E250" s="146"/>
      <c r="F250" s="325" t="str">
        <f>IF(G247="&lt; enter time taken &gt;","",G247&amp;" minutes must be entered on the KPI sheet as a")</f>
        <v/>
      </c>
      <c r="G250" s="548" t="str">
        <f>IF(G247="&lt; enter time taken &gt;","","MANAGER ENDORSEMENT activity.")</f>
        <v/>
      </c>
      <c r="H250" s="549"/>
      <c r="I250" s="50"/>
      <c r="J250" s="26"/>
      <c r="K250" s="127"/>
    </row>
    <row r="251" spans="2:21" ht="14.45" hidden="1" outlineLevel="2">
      <c r="B251" s="115"/>
      <c r="C251" s="50"/>
      <c r="D251"/>
      <c r="E251"/>
      <c r="F251" s="9"/>
      <c r="G251" s="9"/>
      <c r="H251" s="9"/>
      <c r="I251" s="50"/>
      <c r="J251" s="116"/>
    </row>
    <row r="252" spans="2:21" s="45" customFormat="1" ht="15" hidden="1" customHeight="1" outlineLevel="2">
      <c r="B252" s="115"/>
      <c r="C252" s="114"/>
      <c r="D252" s="114"/>
      <c r="E252" s="114"/>
      <c r="F252" s="81" t="s">
        <v>228</v>
      </c>
      <c r="G252" s="492" t="s">
        <v>135</v>
      </c>
      <c r="H252" s="534"/>
      <c r="I252" s="50"/>
      <c r="J252" s="26"/>
    </row>
    <row r="253" spans="2:21" s="45" customFormat="1" ht="15" hidden="1" customHeight="1" outlineLevel="2">
      <c r="B253" s="115"/>
      <c r="C253" s="114"/>
      <c r="D253" s="114"/>
      <c r="E253" s="114"/>
      <c r="F253" s="81"/>
      <c r="G253" s="82"/>
      <c r="H253" s="83"/>
      <c r="I253" s="50"/>
      <c r="J253" s="26"/>
    </row>
    <row r="254" spans="2:21" ht="14.45" hidden="1" outlineLevel="2">
      <c r="B254" s="115"/>
      <c r="C254" s="45"/>
      <c r="D254" s="45"/>
      <c r="E254" s="45"/>
      <c r="F254" s="45"/>
      <c r="G254" s="45"/>
      <c r="H254" s="45"/>
      <c r="I254" s="127"/>
      <c r="J254" s="116"/>
    </row>
    <row r="255" spans="2:21" ht="15" hidden="1" customHeight="1" outlineLevel="1" collapsed="1">
      <c r="B255" s="537" t="s">
        <v>229</v>
      </c>
      <c r="C255" s="702"/>
      <c r="D255" s="702"/>
      <c r="E255" s="702"/>
      <c r="F255" s="702"/>
      <c r="G255" s="702"/>
      <c r="H255" s="702"/>
      <c r="I255" s="702"/>
      <c r="J255" s="704"/>
    </row>
    <row r="256" spans="2:21" ht="14.45" hidden="1" outlineLevel="2">
      <c r="B256" s="115"/>
      <c r="C256" s="9"/>
      <c r="D256" s="9"/>
      <c r="E256" s="9"/>
      <c r="F256" s="9"/>
      <c r="G256" s="9"/>
      <c r="H256" s="9"/>
      <c r="I256" s="50"/>
      <c r="J256" s="116"/>
    </row>
    <row r="257" spans="2:26" ht="15" hidden="1" customHeight="1" outlineLevel="2">
      <c r="B257" s="115"/>
      <c r="C257" s="9"/>
      <c r="D257" s="9"/>
      <c r="E257"/>
      <c r="F257" s="81" t="str">
        <f>IF(G246="rejected","Proceed to Part 8 of this form                                         .","Passive Grease Arrestor (template certificate):")</f>
        <v>Passive Grease Arrestor (template certificate):</v>
      </c>
      <c r="G257" s="182" t="str">
        <f>IF(G246="rejected","","48969999")</f>
        <v>48969999</v>
      </c>
      <c r="H257" s="118" t="str">
        <f>IF(AND(G246="approved",'4. Panel Member Index'!$U$10="Passive Grease Arrestor"),"Use this template!","")</f>
        <v/>
      </c>
      <c r="I257" s="50"/>
      <c r="J257" s="116"/>
    </row>
    <row r="258" spans="2:26" ht="15" hidden="1" customHeight="1" outlineLevel="2">
      <c r="B258" s="115"/>
      <c r="C258" s="9"/>
      <c r="D258" s="9"/>
      <c r="E258"/>
      <c r="F258" s="81" t="str">
        <f>IF(G246="rejected","","Active Grease Separator (template certificate):")</f>
        <v>Active Grease Separator (template certificate):</v>
      </c>
      <c r="G258" s="182" t="str">
        <f>IF(G246="rejected","","48968936")</f>
        <v>48968936</v>
      </c>
      <c r="H258" s="118" t="str">
        <f>IF(AND(G246="approved",'4. Panel Member Index'!$U$10="Active Grease Separator"),"Use this template!","")</f>
        <v/>
      </c>
      <c r="I258" s="50"/>
      <c r="J258" s="116"/>
    </row>
    <row r="259" spans="2:26" ht="15" hidden="1" customHeight="1" outlineLevel="2">
      <c r="B259" s="115"/>
      <c r="C259" s="9"/>
      <c r="D259" s="9"/>
      <c r="E259"/>
      <c r="F259" s="81" t="str">
        <f>IF(G246="rejected","","Oil Water Separator (template certificate):")</f>
        <v>Oil Water Separator (template certificate):</v>
      </c>
      <c r="G259" s="182" t="str">
        <f>IF(G246="rejected","","48969961")</f>
        <v>48969961</v>
      </c>
      <c r="H259" s="118" t="str">
        <f>IF(AND(G246="approved",'4. Panel Member Index'!$U$10="Oil Water Separator"),"Use this template!","")</f>
        <v/>
      </c>
      <c r="I259" s="50"/>
      <c r="J259" s="116"/>
    </row>
    <row r="260" spans="2:26" ht="15" hidden="1" customHeight="1" outlineLevel="2">
      <c r="B260" s="115"/>
      <c r="C260" s="9"/>
      <c r="D260" s="9"/>
      <c r="E260"/>
      <c r="F260" s="81" t="str">
        <f>IF(G246="rejected","","Pits and Traps - Large Traps (template certificate):")</f>
        <v>Pits and Traps - Large Traps (template certificate):</v>
      </c>
      <c r="G260" s="182" t="str">
        <f>IF(G246="rejected","","48970052")</f>
        <v>48970052</v>
      </c>
      <c r="H260" s="118" t="str">
        <f>IF(AND(G246="approved",'4. Panel Member Index'!$U$10="Pits and Traps - Large Traps"),"Use this template!","")</f>
        <v/>
      </c>
      <c r="I260" s="50"/>
      <c r="J260" s="116"/>
    </row>
    <row r="261" spans="2:26" ht="15" hidden="1" customHeight="1" outlineLevel="2">
      <c r="B261" s="115"/>
      <c r="C261" s="9"/>
      <c r="D261" s="9"/>
      <c r="E261"/>
      <c r="F261" s="81" t="str">
        <f>IF(G246="rejected","","Pits and Traps - Basket and In-Sink/Floor Traps (template certificate):")</f>
        <v>Pits and Traps - Basket and In-Sink/Floor Traps (template certificate):</v>
      </c>
      <c r="G261" s="182" t="str">
        <f>IF(G246="rejected","","48971002")</f>
        <v>48971002</v>
      </c>
      <c r="H261" s="118" t="str">
        <f>IF(AND(G246="approved",'4. Panel Member Index'!$U$10="Pits and Traps - Basket or In-Sink/Floor Traps"),"Use this template!","")</f>
        <v/>
      </c>
      <c r="I261" s="50"/>
      <c r="J261" s="116"/>
      <c r="M261" s="141"/>
      <c r="N261" s="142"/>
      <c r="O261" s="142"/>
      <c r="P261" s="142"/>
      <c r="Q261" s="142"/>
      <c r="R261" s="142"/>
      <c r="S261" s="142"/>
      <c r="T261" s="142"/>
      <c r="U261" s="142"/>
      <c r="V261" s="142"/>
      <c r="W261" s="142"/>
      <c r="X261" s="142"/>
      <c r="Y261" s="142"/>
      <c r="Z261" s="142"/>
    </row>
    <row r="262" spans="2:26" ht="15" hidden="1" customHeight="1" outlineLevel="2">
      <c r="B262" s="115"/>
      <c r="C262" s="9"/>
      <c r="D262" s="9"/>
      <c r="E262"/>
      <c r="F262" s="81" t="str">
        <f>IF(G246="rejected","","Additives (template certificate):")</f>
        <v>Additives (template certificate):</v>
      </c>
      <c r="G262" s="182" t="str">
        <f>IF(G246="rejected","","48972003")</f>
        <v>48972003</v>
      </c>
      <c r="H262" s="118" t="str">
        <f>IF(AND(G246="approved",'4. Panel Member Index'!$U$10="Additives"),"Use this template!","")</f>
        <v/>
      </c>
      <c r="I262" s="50"/>
      <c r="J262" s="116"/>
      <c r="M262" s="142"/>
      <c r="N262" s="142"/>
      <c r="O262" s="142"/>
      <c r="P262" s="142"/>
      <c r="Q262" s="142"/>
      <c r="R262" s="142"/>
      <c r="S262" s="142"/>
      <c r="T262" s="142"/>
      <c r="U262" s="142"/>
      <c r="V262" s="142"/>
      <c r="W262" s="142"/>
      <c r="X262" s="142"/>
      <c r="Y262" s="142"/>
      <c r="Z262" s="142"/>
    </row>
    <row r="263" spans="2:26" ht="15" hidden="1" customHeight="1" outlineLevel="2">
      <c r="B263" s="115"/>
      <c r="C263" s="9"/>
      <c r="D263" s="9"/>
      <c r="E263"/>
      <c r="F263" s="81" t="str">
        <f>IF(G246="rejected","","Other (template certificate):")</f>
        <v>Other (template certificate):</v>
      </c>
      <c r="G263" s="84" t="str">
        <f>IF(G246="rejected","","48972016")</f>
        <v>48972016</v>
      </c>
      <c r="H263" s="118" t="str">
        <f>IF(AND(G246="approved",'4. Panel Member Index'!$U$10="Other"),"Use this template!","")</f>
        <v/>
      </c>
      <c r="I263" s="50"/>
      <c r="J263" s="116"/>
      <c r="M263" s="142"/>
      <c r="N263" s="142"/>
      <c r="O263" s="142"/>
      <c r="P263" s="142"/>
      <c r="Q263" s="142"/>
      <c r="R263" s="142"/>
      <c r="S263" s="142"/>
      <c r="T263" s="142"/>
      <c r="U263" s="142"/>
      <c r="V263" s="142"/>
      <c r="W263" s="142"/>
      <c r="X263" s="142"/>
      <c r="Y263" s="142"/>
      <c r="Z263" s="142"/>
    </row>
    <row r="264" spans="2:26" ht="14.45" hidden="1" outlineLevel="2">
      <c r="B264" s="115"/>
      <c r="C264" s="9"/>
      <c r="D264" s="9"/>
      <c r="E264" s="9"/>
      <c r="F264" s="9"/>
      <c r="G264" s="9"/>
      <c r="H264" s="9"/>
      <c r="I264" s="50"/>
      <c r="J264" s="116"/>
    </row>
    <row r="265" spans="2:26" ht="15" hidden="1" customHeight="1" outlineLevel="2">
      <c r="B265" s="115"/>
      <c r="C265" s="9"/>
      <c r="D265" s="9"/>
      <c r="E265" s="177"/>
      <c r="F265" s="80" t="str">
        <f>IF(G246="rejected","","From the Approval Number Issue Log tab select the next sequential issue number (unless already issued): ")</f>
        <v xml:space="preserve">From the Approval Number Issue Log tab select the next sequential issue number (unless already issued): </v>
      </c>
      <c r="G265" s="84" t="str">
        <f>IF(G246="rejected","","open Product Approval Register here")</f>
        <v>open Product Approval Register here</v>
      </c>
      <c r="H265" s="50"/>
      <c r="I265" s="50"/>
      <c r="J265" s="116"/>
      <c r="L265" s="134"/>
    </row>
    <row r="266" spans="2:26" ht="15" hidden="1" customHeight="1" outlineLevel="2">
      <c r="B266" s="115"/>
      <c r="C266" s="9"/>
      <c r="D266" s="9"/>
      <c r="E266" s="178"/>
      <c r="F266" s="81" t="str">
        <f>IF(G246="rejected","","NEXUS number of Approval Certificate that was just created and saved in NEXUS:")</f>
        <v>NEXUS number of Approval Certificate that was just created and saved in NEXUS:</v>
      </c>
      <c r="G266" s="476" t="str">
        <f>IF(G246="rejected","","&lt; NEXUS number of Approval Certificate that was just created &gt;")</f>
        <v>&lt; NEXUS number of Approval Certificate that was just created &gt;</v>
      </c>
      <c r="H266" s="476"/>
      <c r="I266" s="50"/>
      <c r="J266" s="116"/>
      <c r="L266" s="557" t="s">
        <v>230</v>
      </c>
      <c r="M266" s="568"/>
      <c r="N266" s="568"/>
      <c r="O266" s="568"/>
      <c r="P266" s="568"/>
      <c r="Q266" s="568"/>
      <c r="R266" s="568"/>
      <c r="S266" s="568"/>
      <c r="T266" s="568"/>
      <c r="U266" s="568"/>
      <c r="V266" s="568"/>
      <c r="W266" s="568"/>
      <c r="X266" s="568"/>
      <c r="Y266" s="568"/>
    </row>
    <row r="267" spans="2:26" ht="15" hidden="1" customHeight="1" outlineLevel="2">
      <c r="B267" s="115"/>
      <c r="C267" s="9"/>
      <c r="D267" s="9"/>
      <c r="E267" s="178"/>
      <c r="F267" s="81" t="str">
        <f>IF(G246="rejected","","What is the newly issued approval number for the product (e.g. AN-???):")</f>
        <v>What is the newly issued approval number for the product (e.g. AN-???):</v>
      </c>
      <c r="G267" s="476" t="str">
        <f>IF(G246="rejected","","&lt; enter newly issued approval number AN-??? Number here  &gt;")</f>
        <v>&lt; enter newly issued approval number AN-??? Number here  &gt;</v>
      </c>
      <c r="H267" s="476"/>
      <c r="I267" s="50"/>
      <c r="J267" s="116"/>
      <c r="K267" s="139" t="s">
        <v>182</v>
      </c>
      <c r="L267" s="568"/>
      <c r="M267" s="568"/>
      <c r="N267" s="568"/>
      <c r="O267" s="568"/>
      <c r="P267" s="568"/>
      <c r="Q267" s="568"/>
      <c r="R267" s="568"/>
      <c r="S267" s="568"/>
      <c r="T267" s="568"/>
      <c r="U267" s="568"/>
      <c r="V267" s="568"/>
      <c r="W267" s="568"/>
      <c r="X267" s="568"/>
      <c r="Y267" s="568"/>
    </row>
    <row r="268" spans="2:26" ht="15" hidden="1" customHeight="1" outlineLevel="2">
      <c r="B268" s="115"/>
      <c r="C268" s="9"/>
      <c r="D268" s="9"/>
      <c r="E268" s="178"/>
      <c r="F268" s="81" t="s">
        <v>231</v>
      </c>
      <c r="G268" s="476" t="str">
        <f>IF(G246="rejected","0","&lt; enter time taken &gt;")</f>
        <v>&lt; enter time taken &gt;</v>
      </c>
      <c r="H268" s="476"/>
      <c r="I268" s="50"/>
      <c r="J268" s="116"/>
      <c r="L268" s="568"/>
      <c r="M268" s="568"/>
      <c r="N268" s="568"/>
      <c r="O268" s="568"/>
      <c r="P268" s="568"/>
      <c r="Q268" s="568"/>
      <c r="R268" s="568"/>
      <c r="S268" s="568"/>
      <c r="T268" s="568"/>
      <c r="U268" s="568"/>
      <c r="V268" s="568"/>
      <c r="W268" s="568"/>
      <c r="X268" s="568"/>
      <c r="Y268" s="568"/>
    </row>
    <row r="269" spans="2:26" ht="14.45" hidden="1" outlineLevel="2">
      <c r="B269" s="115"/>
      <c r="C269" s="114"/>
      <c r="D269" s="114"/>
      <c r="E269" s="114"/>
      <c r="F269" s="9"/>
      <c r="G269" s="9"/>
      <c r="H269" s="9"/>
      <c r="I269" s="50"/>
      <c r="J269" s="116"/>
    </row>
    <row r="270" spans="2:26" ht="15" hidden="1" customHeight="1" outlineLevel="2">
      <c r="B270" s="23"/>
      <c r="C270" s="9"/>
      <c r="D270" s="146"/>
      <c r="E270" s="146"/>
      <c r="F270" s="325" t="str">
        <f>IF(G268="0",G268&amp;" minutes must be entered on the KPI sheet as a",IF(G246='[1](admin) Drop Down Variables'!D78,"",IF(G268="&lt; enter time taken &gt;","",G268&amp;" minutes must be entered on the KPI sheet as a")))</f>
        <v/>
      </c>
      <c r="G270" s="476" t="str">
        <f>IF(G268="0","CREATE APPROVAL CERTIFICATE activity.",IF(G246='[1](admin) Drop Down Variables'!D78,"",IF(G268="&lt; enter time taken &gt;","","CREATE APPROVAL CERTIFICATE activity.")))</f>
        <v/>
      </c>
      <c r="H270" s="530"/>
      <c r="I270" s="50"/>
      <c r="J270" s="26"/>
      <c r="K270" s="127"/>
    </row>
    <row r="271" spans="2:26" ht="14.45" hidden="1" outlineLevel="2">
      <c r="B271" s="115"/>
      <c r="C271" s="9"/>
      <c r="D271" s="9"/>
      <c r="E271" s="178"/>
      <c r="F271" s="9"/>
      <c r="G271" s="9"/>
      <c r="H271" s="9"/>
      <c r="I271" s="50"/>
      <c r="J271" s="116"/>
    </row>
    <row r="272" spans="2:26" s="45" customFormat="1" ht="15" hidden="1" customHeight="1" outlineLevel="2">
      <c r="B272" s="115"/>
      <c r="C272" s="114"/>
      <c r="D272" s="114"/>
      <c r="E272" s="114"/>
      <c r="F272" s="81" t="s">
        <v>232</v>
      </c>
      <c r="G272" s="492" t="s">
        <v>135</v>
      </c>
      <c r="H272" s="534"/>
      <c r="I272" s="50"/>
      <c r="J272" s="26"/>
    </row>
    <row r="273" spans="2:26" s="45" customFormat="1" ht="15" hidden="1" customHeight="1" outlineLevel="2">
      <c r="B273" s="115"/>
      <c r="C273" s="114"/>
      <c r="D273" s="114"/>
      <c r="E273" s="114"/>
      <c r="F273" s="81"/>
      <c r="G273" s="82"/>
      <c r="H273" s="83"/>
      <c r="I273" s="50"/>
      <c r="J273" s="26"/>
    </row>
    <row r="274" spans="2:26" ht="14.45" hidden="1" outlineLevel="2">
      <c r="B274" s="28"/>
      <c r="C274" s="30"/>
      <c r="D274" s="30"/>
      <c r="E274" s="30"/>
      <c r="F274" s="36"/>
      <c r="G274" s="36"/>
      <c r="H274" s="36"/>
      <c r="I274" s="36"/>
      <c r="J274" s="37"/>
    </row>
    <row r="275" spans="2:26" ht="15" hidden="1" customHeight="1" outlineLevel="1" collapsed="1">
      <c r="B275" s="537" t="s">
        <v>233</v>
      </c>
      <c r="C275" s="702"/>
      <c r="D275" s="702"/>
      <c r="E275" s="702"/>
      <c r="F275" s="702"/>
      <c r="G275" s="702"/>
      <c r="H275" s="702"/>
      <c r="I275" s="702"/>
      <c r="J275" s="704"/>
    </row>
    <row r="276" spans="2:26" ht="14.45" hidden="1" outlineLevel="2">
      <c r="B276" s="115"/>
      <c r="C276" s="9"/>
      <c r="D276" s="9"/>
      <c r="E276" s="9"/>
      <c r="F276" s="9"/>
      <c r="G276" s="9"/>
      <c r="H276" s="9"/>
      <c r="I276" s="50"/>
      <c r="J276" s="35"/>
    </row>
    <row r="277" spans="2:26" ht="14.45" hidden="1" outlineLevel="2">
      <c r="B277" s="115"/>
      <c r="C277" s="9"/>
      <c r="D277"/>
      <c r="E277"/>
      <c r="F277" s="46" t="str">
        <f>IF(G246="rejected","","Prepare DRAFT Approval Certificate e-mail using this e-mail template:")</f>
        <v>Prepare DRAFT Approval Certificate e-mail using this e-mail template:</v>
      </c>
      <c r="G277" s="84" t="str">
        <f>IF(G246="rejected","","62019043")</f>
        <v>62019043</v>
      </c>
      <c r="H277" s="9"/>
      <c r="I277" s="50"/>
      <c r="J277" s="35"/>
    </row>
    <row r="278" spans="2:26" ht="14.45" hidden="1" outlineLevel="2">
      <c r="B278" s="115"/>
      <c r="C278" s="9"/>
      <c r="D278"/>
      <c r="E278" s="9"/>
      <c r="F278" s="9"/>
      <c r="G278" s="9"/>
      <c r="H278" s="9"/>
      <c r="I278" s="50"/>
      <c r="J278" s="35"/>
      <c r="L278" s="557" t="s">
        <v>179</v>
      </c>
      <c r="M278" s="558"/>
      <c r="N278" s="558"/>
      <c r="O278" s="558"/>
      <c r="P278" s="558"/>
      <c r="Q278" s="558"/>
      <c r="R278" s="558"/>
      <c r="S278" s="558"/>
      <c r="T278" s="558"/>
      <c r="U278" s="558"/>
      <c r="V278" s="558"/>
      <c r="W278" s="558"/>
      <c r="X278" s="558"/>
      <c r="Y278" s="558"/>
      <c r="Z278" s="700"/>
    </row>
    <row r="279" spans="2:26" ht="15" hidden="1" customHeight="1" outlineLevel="2">
      <c r="B279" s="115"/>
      <c r="C279" s="114"/>
      <c r="D279" s="114"/>
      <c r="E279"/>
      <c r="F279" s="81" t="str">
        <f>IF(G246="rejected","","NEXUS Document Number Reference of E-Mail Sent:")</f>
        <v>NEXUS Document Number Reference of E-Mail Sent:</v>
      </c>
      <c r="G279" s="476" t="str">
        <f>IF(G246="rejected","","&lt; enter NEXUS Ref and (sub) version # &gt;")</f>
        <v>&lt; enter NEXUS Ref and (sub) version # &gt;</v>
      </c>
      <c r="H279" s="476"/>
      <c r="I279" s="50"/>
      <c r="J279" s="116"/>
      <c r="K279" s="139" t="s">
        <v>182</v>
      </c>
      <c r="L279" s="558"/>
      <c r="M279" s="558"/>
      <c r="N279" s="558"/>
      <c r="O279" s="558"/>
      <c r="P279" s="558"/>
      <c r="Q279" s="558"/>
      <c r="R279" s="558"/>
      <c r="S279" s="558"/>
      <c r="T279" s="558"/>
      <c r="U279" s="558"/>
      <c r="V279" s="558"/>
      <c r="W279" s="558"/>
      <c r="X279" s="558"/>
      <c r="Y279" s="558"/>
      <c r="Z279" s="700"/>
    </row>
    <row r="280" spans="2:26" ht="15" hidden="1" customHeight="1" outlineLevel="2">
      <c r="B280" s="115"/>
      <c r="C280" s="9"/>
      <c r="D280"/>
      <c r="E280"/>
      <c r="F280" s="80" t="s">
        <v>234</v>
      </c>
      <c r="G280" s="476" t="str">
        <f>IF(G246="rejected","0","&lt; enter time taken &gt;")</f>
        <v>&lt; enter time taken &gt;</v>
      </c>
      <c r="H280" s="476"/>
      <c r="I280" s="50"/>
      <c r="J280" s="35"/>
      <c r="L280" s="558"/>
      <c r="M280" s="558"/>
      <c r="N280" s="558"/>
      <c r="O280" s="558"/>
      <c r="P280" s="558"/>
      <c r="Q280" s="558"/>
      <c r="R280" s="558"/>
      <c r="S280" s="558"/>
      <c r="T280" s="558"/>
      <c r="U280" s="558"/>
      <c r="V280" s="558"/>
      <c r="W280" s="558"/>
      <c r="X280" s="558"/>
      <c r="Y280" s="558"/>
      <c r="Z280" s="700"/>
    </row>
    <row r="281" spans="2:26" ht="14.45" hidden="1" outlineLevel="2">
      <c r="B281" s="115"/>
      <c r="C281" s="114"/>
      <c r="D281" s="114"/>
      <c r="E281" s="114"/>
      <c r="F281" s="9"/>
      <c r="G281" s="9"/>
      <c r="H281" s="9"/>
      <c r="I281" s="50"/>
      <c r="J281" s="116"/>
    </row>
    <row r="282" spans="2:26" ht="15" hidden="1" customHeight="1" outlineLevel="2">
      <c r="B282" s="23"/>
      <c r="C282" s="9"/>
      <c r="D282" s="146"/>
      <c r="E282" s="146"/>
      <c r="F282" s="325" t="str">
        <f>IF(G280="0",G280&amp;" minutes must be entered on the KPI sheet as a",IF(G246='[1](admin) Drop Down Variables'!D78,"",IF(G280="&lt; enter time taken &gt;","",G280&amp;" minutes must be entered on the KPI sheet as a")))</f>
        <v/>
      </c>
      <c r="G282" s="476" t="str">
        <f>IF(G280="0","DRAFT APPROVAL CERTIFICATE AND FINALISATION COMMENTS activity.",IF(G246='[1](admin) Drop Down Variables'!D78,"",IF(G280="&lt; enter time taken &gt;","","DRAFT APPROVAL CERTIFICATE AND FINALISATION COMMENTS activity.")))</f>
        <v/>
      </c>
      <c r="H282" s="530"/>
      <c r="I282" s="530"/>
      <c r="J282" s="26"/>
      <c r="K282" s="127"/>
    </row>
    <row r="283" spans="2:26" ht="14.45" hidden="1" outlineLevel="2">
      <c r="B283" s="115"/>
      <c r="C283" s="9"/>
      <c r="D283"/>
      <c r="E283" s="9"/>
      <c r="F283" s="9"/>
      <c r="G283" s="9"/>
      <c r="H283" s="9"/>
      <c r="I283" s="50"/>
      <c r="J283" s="35"/>
    </row>
    <row r="284" spans="2:26" s="45" customFormat="1" ht="15" hidden="1" customHeight="1" outlineLevel="2">
      <c r="B284" s="115"/>
      <c r="C284" s="114"/>
      <c r="D284" s="114"/>
      <c r="E284" s="114"/>
      <c r="F284" s="81" t="s">
        <v>235</v>
      </c>
      <c r="G284" s="492" t="s">
        <v>135</v>
      </c>
      <c r="H284" s="492"/>
      <c r="I284" s="50"/>
      <c r="J284" s="35"/>
    </row>
    <row r="285" spans="2:26" s="45" customFormat="1" ht="15" hidden="1" customHeight="1" outlineLevel="2">
      <c r="B285" s="115"/>
      <c r="C285" s="114"/>
      <c r="D285" s="114"/>
      <c r="E285" s="114"/>
      <c r="F285" s="81"/>
      <c r="G285" s="82"/>
      <c r="H285" s="83"/>
      <c r="I285" s="50"/>
      <c r="J285" s="35"/>
    </row>
    <row r="286" spans="2:26" ht="14.45" hidden="1" outlineLevel="2">
      <c r="B286" s="115"/>
      <c r="C286" s="45"/>
      <c r="D286" s="45"/>
      <c r="E286" s="45"/>
      <c r="J286" s="35"/>
    </row>
    <row r="287" spans="2:26" ht="15" hidden="1" customHeight="1" outlineLevel="1" collapsed="1">
      <c r="B287" s="537" t="s">
        <v>236</v>
      </c>
      <c r="C287" s="702"/>
      <c r="D287" s="702"/>
      <c r="E287" s="702"/>
      <c r="F287" s="702"/>
      <c r="G287" s="702"/>
      <c r="H287" s="702"/>
      <c r="I287" s="702"/>
      <c r="J287" s="704"/>
    </row>
    <row r="288" spans="2:26" ht="14.45" hidden="1" outlineLevel="2">
      <c r="B288" s="115"/>
      <c r="C288" s="9"/>
      <c r="D288" s="9"/>
      <c r="E288" s="9"/>
      <c r="F288" s="9"/>
      <c r="G288" s="9"/>
      <c r="H288" s="9"/>
      <c r="I288" s="50"/>
      <c r="J288" s="35"/>
    </row>
    <row r="289" spans="2:26" ht="14.45" hidden="1" outlineLevel="2">
      <c r="B289" s="115"/>
      <c r="C289" s="9"/>
      <c r="D289"/>
      <c r="E289"/>
      <c r="F289" s="46" t="str">
        <f>IF(G246="rejected","","Prepare approval e-mail using this e-mail template:")</f>
        <v>Prepare approval e-mail using this e-mail template:</v>
      </c>
      <c r="G289" s="84" t="str">
        <f>IF(G246="rejected","","62020984")</f>
        <v>62020984</v>
      </c>
      <c r="H289" s="9"/>
      <c r="I289" s="50"/>
      <c r="J289" s="35"/>
    </row>
    <row r="290" spans="2:26" ht="15" hidden="1" customHeight="1" outlineLevel="2">
      <c r="B290" s="115"/>
      <c r="C290" s="9"/>
      <c r="D290" s="9"/>
      <c r="E290" s="178"/>
      <c r="F290" s="81" t="str">
        <f>IF(G246="rejected","","What is the final approval date on the new approval certificate:")</f>
        <v>What is the final approval date on the new approval certificate:</v>
      </c>
      <c r="G290" s="571" t="str">
        <f>IF(G246="rejected","","&lt; approval date as shown on certificate &gt;")</f>
        <v>&lt; approval date as shown on certificate &gt;</v>
      </c>
      <c r="H290" s="572"/>
      <c r="I290" s="50"/>
      <c r="J290" s="116"/>
    </row>
    <row r="291" spans="2:26" ht="15" hidden="1" customHeight="1" outlineLevel="2">
      <c r="B291" s="115"/>
      <c r="C291" s="9"/>
      <c r="D291" s="9"/>
      <c r="E291" s="178"/>
      <c r="F291" s="81" t="str">
        <f>IF(G246="rejected","","What is the new expiry duration period:")</f>
        <v>What is the new expiry duration period:</v>
      </c>
      <c r="G291" s="476" t="str">
        <f>IF(G246="rejected","","&lt; enter duration period (years) from certificate &gt;")</f>
        <v>&lt; enter duration period (years) from certificate &gt;</v>
      </c>
      <c r="H291" s="508"/>
      <c r="I291" s="50"/>
      <c r="J291" s="116"/>
    </row>
    <row r="292" spans="2:26" ht="15" hidden="1" customHeight="1" outlineLevel="2">
      <c r="B292" s="115"/>
      <c r="C292" s="9"/>
      <c r="D292" s="9"/>
      <c r="E292" s="178"/>
      <c r="F292" s="81" t="str">
        <f>IF(G246="rejected","","New expiry date is:")</f>
        <v>New expiry date is:</v>
      </c>
      <c r="G292" s="567" t="e">
        <f>IF(G246="rejected","",G290+(365*G291))</f>
        <v>#VALUE!</v>
      </c>
      <c r="H292" s="508"/>
      <c r="I292" s="50"/>
      <c r="J292" s="116"/>
    </row>
    <row r="293" spans="2:26" ht="15" hidden="1" customHeight="1" outlineLevel="2">
      <c r="B293" s="115"/>
      <c r="C293" s="9"/>
      <c r="D293" s="9"/>
      <c r="E293" s="178"/>
      <c r="F293" s="81"/>
      <c r="G293" s="179"/>
      <c r="H293" s="50"/>
      <c r="I293" s="50"/>
      <c r="J293" s="116"/>
    </row>
    <row r="294" spans="2:26" ht="14.45" hidden="1" outlineLevel="2">
      <c r="B294" s="115"/>
      <c r="C294" s="9"/>
      <c r="D294"/>
      <c r="E294"/>
      <c r="F294" s="46" t="str">
        <f>IF(G246="approved","","Prepare rejection e-mail using this e-mail template:")</f>
        <v>Prepare rejection e-mail using this e-mail template:</v>
      </c>
      <c r="G294" s="84" t="str">
        <f>IF(G246="approved","","62020955")</f>
        <v>62020955</v>
      </c>
      <c r="H294" s="9"/>
      <c r="I294" s="50"/>
      <c r="J294" s="35"/>
    </row>
    <row r="295" spans="2:26" ht="14.45" hidden="1" outlineLevel="2">
      <c r="B295" s="115"/>
      <c r="C295" s="9"/>
      <c r="D295"/>
      <c r="E295" s="9"/>
      <c r="F295" s="9"/>
      <c r="G295" s="9"/>
      <c r="H295" s="9"/>
      <c r="I295" s="50"/>
      <c r="J295" s="35"/>
      <c r="L295" s="557" t="s">
        <v>179</v>
      </c>
      <c r="M295" s="558"/>
      <c r="N295" s="558"/>
      <c r="O295" s="558"/>
      <c r="P295" s="558"/>
      <c r="Q295" s="558"/>
      <c r="R295" s="558"/>
      <c r="S295" s="558"/>
      <c r="T295" s="558"/>
      <c r="U295" s="558"/>
      <c r="V295" s="558"/>
      <c r="W295" s="558"/>
      <c r="X295" s="558"/>
      <c r="Y295" s="558"/>
      <c r="Z295" s="700"/>
    </row>
    <row r="296" spans="2:26" ht="15" hidden="1" customHeight="1" outlineLevel="2">
      <c r="B296" s="115"/>
      <c r="C296" s="114"/>
      <c r="D296" s="114"/>
      <c r="E296"/>
      <c r="F296" s="81" t="s">
        <v>180</v>
      </c>
      <c r="G296" s="476" t="s">
        <v>181</v>
      </c>
      <c r="H296" s="508"/>
      <c r="I296" s="50"/>
      <c r="J296" s="116"/>
      <c r="K296" s="139" t="s">
        <v>182</v>
      </c>
      <c r="L296" s="558"/>
      <c r="M296" s="558"/>
      <c r="N296" s="558"/>
      <c r="O296" s="558"/>
      <c r="P296" s="558"/>
      <c r="Q296" s="558"/>
      <c r="R296" s="558"/>
      <c r="S296" s="558"/>
      <c r="T296" s="558"/>
      <c r="U296" s="558"/>
      <c r="V296" s="558"/>
      <c r="W296" s="558"/>
      <c r="X296" s="558"/>
      <c r="Y296" s="558"/>
      <c r="Z296" s="700"/>
    </row>
    <row r="297" spans="2:26" ht="15" hidden="1" customHeight="1" outlineLevel="2">
      <c r="B297" s="115"/>
      <c r="C297" s="9"/>
      <c r="D297"/>
      <c r="E297"/>
      <c r="F297" s="81" t="s">
        <v>237</v>
      </c>
      <c r="G297" s="476" t="s">
        <v>97</v>
      </c>
      <c r="H297" s="508"/>
      <c r="I297" s="50"/>
      <c r="J297" s="35"/>
      <c r="L297" s="558"/>
      <c r="M297" s="558"/>
      <c r="N297" s="558"/>
      <c r="O297" s="558"/>
      <c r="P297" s="558"/>
      <c r="Q297" s="558"/>
      <c r="R297" s="558"/>
      <c r="S297" s="558"/>
      <c r="T297" s="558"/>
      <c r="U297" s="558"/>
      <c r="V297" s="558"/>
      <c r="W297" s="558"/>
      <c r="X297" s="558"/>
      <c r="Y297" s="558"/>
      <c r="Z297" s="700"/>
    </row>
    <row r="298" spans="2:26" ht="14.45" hidden="1" outlineLevel="2">
      <c r="B298" s="115"/>
      <c r="C298" s="114"/>
      <c r="D298" s="114"/>
      <c r="E298" s="114"/>
      <c r="F298" s="9"/>
      <c r="G298" s="9"/>
      <c r="H298" s="9"/>
      <c r="I298" s="50"/>
      <c r="J298" s="116"/>
    </row>
    <row r="299" spans="2:26" ht="15" hidden="1" customHeight="1" outlineLevel="2">
      <c r="B299" s="23"/>
      <c r="C299" s="9"/>
      <c r="D299" s="146"/>
      <c r="E299" s="146"/>
      <c r="F299" s="325" t="str">
        <f>IF(G297="&lt; enter time taken &gt;","",G297&amp;" minutes must be entered on the KPI sheet as a")</f>
        <v/>
      </c>
      <c r="G299" s="476" t="str">
        <f>IF(G297="&lt; enter time taken &gt;","","FINAL REPLY TO APPLICANT activity.")</f>
        <v/>
      </c>
      <c r="H299" s="530"/>
      <c r="I299" s="50"/>
      <c r="J299" s="26"/>
      <c r="K299" s="127"/>
    </row>
    <row r="300" spans="2:26" ht="14.45" hidden="1" outlineLevel="2">
      <c r="B300" s="115"/>
      <c r="C300" s="9"/>
      <c r="D300"/>
      <c r="E300" s="9"/>
      <c r="F300" s="9"/>
      <c r="G300" s="9"/>
      <c r="H300" s="9"/>
      <c r="I300" s="50"/>
      <c r="J300" s="35"/>
    </row>
    <row r="301" spans="2:26" s="45" customFormat="1" ht="15" hidden="1" customHeight="1" outlineLevel="2">
      <c r="B301" s="115"/>
      <c r="C301" s="114"/>
      <c r="D301" s="114"/>
      <c r="E301" s="114"/>
      <c r="F301" s="81" t="s">
        <v>238</v>
      </c>
      <c r="G301" s="492" t="s">
        <v>135</v>
      </c>
      <c r="H301" s="534"/>
      <c r="I301" s="50"/>
      <c r="J301" s="35"/>
    </row>
    <row r="302" spans="2:26" s="45" customFormat="1" ht="15" hidden="1" customHeight="1" outlineLevel="2">
      <c r="B302" s="115"/>
      <c r="C302" s="114"/>
      <c r="D302" s="114"/>
      <c r="E302" s="114"/>
      <c r="F302" s="81"/>
      <c r="G302" s="82"/>
      <c r="H302" s="83"/>
      <c r="I302" s="50"/>
      <c r="J302" s="35"/>
    </row>
    <row r="303" spans="2:26" ht="14.45" hidden="1" outlineLevel="2">
      <c r="B303" s="115"/>
      <c r="C303" s="45"/>
      <c r="D303" s="45"/>
      <c r="E303" s="45"/>
      <c r="J303" s="35"/>
    </row>
    <row r="304" spans="2:26" ht="15" hidden="1" customHeight="1" outlineLevel="1" collapsed="1">
      <c r="B304" s="537" t="s">
        <v>239</v>
      </c>
      <c r="C304" s="702"/>
      <c r="D304" s="702"/>
      <c r="E304" s="702"/>
      <c r="F304" s="702"/>
      <c r="G304" s="702"/>
      <c r="H304" s="702"/>
      <c r="I304" s="702"/>
      <c r="J304" s="704"/>
    </row>
    <row r="305" spans="2:11" ht="14.45" hidden="1" outlineLevel="2">
      <c r="B305" s="115"/>
      <c r="C305"/>
      <c r="D305"/>
      <c r="E305"/>
      <c r="F305"/>
      <c r="G305"/>
      <c r="H305"/>
      <c r="I305" s="50"/>
      <c r="J305" s="35"/>
    </row>
    <row r="306" spans="2:11" ht="14.45" hidden="1" outlineLevel="2">
      <c r="B306" s="115"/>
      <c r="C306"/>
      <c r="D306" s="547" t="str">
        <f>IF(F240="&lt; Make selection here &gt;","",
      IF(AND(G246="rejected",F18='(admin) Drop Down Variables'!D11),      "",
            IF(AND(G246="rejected",F18&lt;&gt;'(admin) Drop Down Variables'!D11),      "This is a rejected product so select template number 81154757 below.",
                  IF(AND('5. Review'!G246="approved",F18='(admin) Drop Down Variables'!D11),      "This is a new product so select template number 81155163 below.",
                        IF(AND('5. Review'!G246="approved",F18='(admin) Drop Down Variables'!D12),      "This is an expired product that has had no changes since the previous approval so select template number 81220053 below.",
                              IF(AND('5. Review'!G246="approved",F18='(admin) Drop Down Variables'!D13),      "This is an expired product that has new models to be added so select template number 81220053 below.",
                                    IF(AND('5. Review'!G246="approved",F18='(admin) Drop Down Variables'!D14),      "This is an expired product that has had new changes made to existing products so select template number 81220053 below.",
                                    "If the review is due to issues in the field then discuss further with the Manager of Trade Waste.")))))))</f>
        <v/>
      </c>
      <c r="E306" s="678"/>
      <c r="F306" s="678"/>
      <c r="G306" s="9"/>
      <c r="H306" s="9"/>
      <c r="I306" s="50"/>
      <c r="J306" s="35"/>
    </row>
    <row r="307" spans="2:11" ht="14.45" hidden="1" outlineLevel="2">
      <c r="B307" s="115"/>
      <c r="C307"/>
      <c r="D307" s="119"/>
      <c r="E307" s="243"/>
      <c r="F307" s="243"/>
      <c r="G307" s="9"/>
      <c r="H307" s="9"/>
      <c r="I307" s="50"/>
      <c r="J307" s="35"/>
    </row>
    <row r="308" spans="2:11" ht="14.45" hidden="1" outlineLevel="2">
      <c r="B308" s="115"/>
      <c r="C308"/>
      <c r="D308"/>
      <c r="E308"/>
      <c r="F308" s="46" t="str">
        <f>IF(AND(G246="rejected",'3. Registration'!U5="New product/s never assessed before"),"","Prepare Web Page Update request to add new products using this e-mail template:")</f>
        <v>Prepare Web Page Update request to add new products using this e-mail template:</v>
      </c>
      <c r="G308" s="271" t="str">
        <f>IF(AND(G246="rejected",'3. Registration'!U5="New product/s never assessed before"),"","81155163")</f>
        <v>81155163</v>
      </c>
      <c r="H308" s="9"/>
      <c r="I308" s="50"/>
      <c r="J308" s="35"/>
    </row>
    <row r="309" spans="2:11" ht="14.45" hidden="1" outlineLevel="2">
      <c r="B309" s="115"/>
      <c r="C309"/>
      <c r="D309"/>
      <c r="E309"/>
      <c r="F309" s="46" t="str">
        <f>IF(AND(G246="rejected",'3. Registration'!U5="New product/s never assessed before"),"","Prepare Web Page Update request to remove existing products using this e-mail template:")</f>
        <v>Prepare Web Page Update request to remove existing products using this e-mail template:</v>
      </c>
      <c r="G309" s="84" t="str">
        <f>IF(AND(G246="rejected",'3. Registration'!U5="New product/s never assessed before"),"","81154757")</f>
        <v>81154757</v>
      </c>
      <c r="H309" s="9"/>
      <c r="I309" s="50"/>
      <c r="J309" s="35"/>
    </row>
    <row r="310" spans="2:11" ht="14.45" hidden="1" outlineLevel="2">
      <c r="B310" s="115"/>
      <c r="C310"/>
      <c r="D310"/>
      <c r="E310"/>
      <c r="F310" s="46" t="str">
        <f>IF(AND(G246="rejected",'3. Registration'!U5="New product/s never assessed before"),"","Prepare Web Page Update request to amend existing information using this e-mail template:")</f>
        <v>Prepare Web Page Update request to amend existing information using this e-mail template:</v>
      </c>
      <c r="G310" s="84" t="str">
        <f>IF(AND(G246="rejected",'3. Registration'!U5="New product/s never assessed before"),"","81220053")</f>
        <v>81220053</v>
      </c>
      <c r="H310" s="9"/>
      <c r="I310" s="50"/>
      <c r="J310" s="35"/>
    </row>
    <row r="311" spans="2:11" ht="14.45" hidden="1" outlineLevel="2">
      <c r="B311" s="115"/>
      <c r="C311"/>
      <c r="D311" s="84"/>
      <c r="E311" s="84"/>
      <c r="F311"/>
      <c r="G311" s="84"/>
      <c r="H311" s="9"/>
      <c r="I311" s="50"/>
      <c r="J311" s="35"/>
    </row>
    <row r="312" spans="2:11" ht="15" hidden="1" customHeight="1" outlineLevel="2">
      <c r="B312" s="115"/>
      <c r="C312"/>
      <c r="D312"/>
      <c r="E312"/>
      <c r="F312" s="81" t="s">
        <v>240</v>
      </c>
      <c r="G312" s="476" t="str">
        <f>IF(G246="rejected","0","&lt; enter time taken &gt;")</f>
        <v>&lt; enter time taken &gt;</v>
      </c>
      <c r="H312" s="508"/>
      <c r="I312" s="50"/>
      <c r="J312" s="35"/>
    </row>
    <row r="313" spans="2:11" ht="14.45" hidden="1" outlineLevel="2">
      <c r="B313" s="115"/>
      <c r="C313" s="114"/>
      <c r="D313" s="114"/>
      <c r="E313" s="114"/>
      <c r="F313" s="9"/>
      <c r="G313" s="9"/>
      <c r="H313" s="9"/>
      <c r="I313" s="50"/>
      <c r="J313" s="116"/>
    </row>
    <row r="314" spans="2:11" ht="15" hidden="1" customHeight="1" outlineLevel="2">
      <c r="B314" s="23"/>
      <c r="C314" s="9"/>
      <c r="D314" s="146"/>
      <c r="E314" s="146"/>
      <c r="F314" s="325" t="str">
        <f>IF(G312="0",G312&amp;" minutes must be entered on the KPI sheet as a",IF(G312="&lt; enter time taken &gt;","",G312&amp;" minutes must be entered on the KPI sheet as a"))</f>
        <v/>
      </c>
      <c r="G314" s="476" t="str">
        <f>IF(G312="0","REQUEST WEB PAGE UPDATE activity.",IF(G312="&lt; enter time taken &gt;","","REQUEST WEB PAGE UPDATE activity."))</f>
        <v/>
      </c>
      <c r="H314" s="530"/>
      <c r="I314" s="50"/>
      <c r="J314" s="26"/>
      <c r="K314" s="127"/>
    </row>
    <row r="315" spans="2:11" ht="14.45" hidden="1" outlineLevel="2">
      <c r="B315" s="115"/>
      <c r="C315"/>
      <c r="D315"/>
      <c r="E315" s="9"/>
      <c r="F315" s="9"/>
      <c r="G315" s="9"/>
      <c r="H315" s="9"/>
      <c r="I315" s="50"/>
      <c r="J315" s="35"/>
    </row>
    <row r="316" spans="2:11" s="45" customFormat="1" ht="15" hidden="1" customHeight="1" outlineLevel="2">
      <c r="B316" s="115"/>
      <c r="C316" s="114"/>
      <c r="D316" s="114"/>
      <c r="E316" s="114"/>
      <c r="F316" s="81" t="s">
        <v>241</v>
      </c>
      <c r="G316" s="492" t="s">
        <v>135</v>
      </c>
      <c r="H316" s="534"/>
      <c r="I316" s="50"/>
      <c r="J316" s="26"/>
    </row>
    <row r="317" spans="2:11" s="45" customFormat="1" ht="15" hidden="1" customHeight="1" outlineLevel="2">
      <c r="B317" s="115"/>
      <c r="C317" s="114"/>
      <c r="D317" s="114"/>
      <c r="E317" s="114"/>
      <c r="F317" s="81"/>
      <c r="G317" s="82"/>
      <c r="H317" s="83"/>
      <c r="I317" s="50"/>
      <c r="J317" s="26"/>
    </row>
    <row r="318" spans="2:11" ht="14.45" hidden="1" outlineLevel="2">
      <c r="B318" s="115"/>
      <c r="C318" s="45"/>
      <c r="J318" s="35"/>
    </row>
    <row r="319" spans="2:11" ht="15" hidden="1" customHeight="1" outlineLevel="1" collapsed="1">
      <c r="B319" s="537" t="s">
        <v>242</v>
      </c>
      <c r="C319" s="702"/>
      <c r="D319" s="702"/>
      <c r="E319" s="702"/>
      <c r="F319" s="702"/>
      <c r="G319" s="702"/>
      <c r="H319" s="702"/>
      <c r="I319" s="702"/>
      <c r="J319" s="704"/>
    </row>
    <row r="320" spans="2:11" ht="14.45" hidden="1" outlineLevel="2">
      <c r="B320" s="115"/>
      <c r="C320" s="569" t="str">
        <f>IF(AND(Q249="rejected",'3. Registration'!AE8="New product/s never assessed before"),"",IF(D321&lt;&gt;"","","A MIDAS update request is not needed if the appraisal was for an existing product range and the only thing that changed was a new expiry date (which MIDAS does not record)."))</f>
        <v/>
      </c>
      <c r="D320"/>
      <c r="E320"/>
      <c r="F320"/>
      <c r="G320"/>
      <c r="H320"/>
      <c r="I320" s="50"/>
      <c r="J320" s="35"/>
    </row>
    <row r="321" spans="2:14" ht="14.45" hidden="1" outlineLevel="2">
      <c r="B321" s="115"/>
      <c r="C321" s="569"/>
      <c r="D321" s="547" t="str">
        <f>IF(AND(G246="rejected",F18="New product/s never assessed before"),    "",
      IF(AND(G246="rejected",F18&lt;&gt;"New product/s never assessed before"),      "This is an expired product so select template number 62020937 below.",
            IF(F18="New product/s never assessed before",      "This is a new product so select template number 62020929 below.",
                  IF(F18="Review of expired only product/s with no change since previous approval",      "",
                        IF(F18="Review of expired product/s with new models being added",      "This is an expired product that has new models to be added so select template number 62020942 below.",
                              IF(F18="Review of existing product/s with new changes made since last approval",      "This is an existing product that has had new changes made so select template number 62020942 below.",
                              "If the review is due to issues in the field then discuss further with the Manager of Trade Waste."))))))</f>
        <v>If the review is due to issues in the field then discuss further with the Manager of Trade Waste.</v>
      </c>
      <c r="E321" s="678"/>
      <c r="F321" s="678"/>
      <c r="G321" s="678"/>
      <c r="H321" s="9"/>
      <c r="I321" s="50"/>
      <c r="J321" s="35"/>
      <c r="M321" s="326"/>
    </row>
    <row r="322" spans="2:14" ht="14.45" hidden="1" outlineLevel="2">
      <c r="B322" s="115"/>
      <c r="C322" s="569"/>
      <c r="D322"/>
      <c r="E322"/>
      <c r="F322" s="9"/>
      <c r="G322" s="9"/>
      <c r="H322" s="9"/>
      <c r="I322" s="50"/>
      <c r="J322" s="35"/>
      <c r="M322" s="326"/>
    </row>
    <row r="323" spans="2:14" ht="14.45" hidden="1" outlineLevel="2">
      <c r="B323" s="115"/>
      <c r="C323" s="569"/>
      <c r="D323"/>
      <c r="E323"/>
      <c r="F323" s="46" t="str">
        <f>IF(AND(G246="rejected",'3. Registration'!U5="New product/s never assessed before"),"",IF(C320&lt;&gt;"","","Prepare MIDAS Table Update request to add new products using this e-mail template:"))</f>
        <v>Prepare MIDAS Table Update request to add new products using this e-mail template:</v>
      </c>
      <c r="G323" s="84" t="str">
        <f>IF(AND(G246="rejected",'3. Registration'!U5="New product/s never assessed before"),"",IF(C320&lt;&gt;"","","62020929"))</f>
        <v>62020929</v>
      </c>
      <c r="H323" s="9"/>
      <c r="I323" s="50"/>
      <c r="J323" s="35"/>
      <c r="M323" s="326"/>
    </row>
    <row r="324" spans="2:14" ht="15" hidden="1" outlineLevel="2">
      <c r="B324" s="115"/>
      <c r="C324" s="569"/>
      <c r="D324"/>
      <c r="E324"/>
      <c r="F324" s="46" t="str">
        <f>IF(AND(G246="rejected",'3. Registration'!U5="New product/s never assessed before"),"",IF(C320&lt;&gt;"","","Prepare MIDAS Table Update request to remove existing products using this e-mail template:"))</f>
        <v>Prepare MIDAS Table Update request to remove existing products using this e-mail template:</v>
      </c>
      <c r="G324" s="84" t="str">
        <f>IF(AND(G246="rejected",'3. Registration'!U5="New product/s never assessed before"),"",IF(C320&lt;&gt;"","","62020937"))</f>
        <v>62020937</v>
      </c>
      <c r="H324" s="9"/>
      <c r="I324" s="50"/>
      <c r="J324" s="35"/>
      <c r="M324" s="326"/>
      <c r="N324" s="104"/>
    </row>
    <row r="325" spans="2:14" ht="15" hidden="1" outlineLevel="2">
      <c r="B325" s="115"/>
      <c r="C325" s="569"/>
      <c r="D325"/>
      <c r="E325"/>
      <c r="F325" s="46" t="str">
        <f>IF(AND(G246="rejected",'3. Registration'!U5="New product/s never assessed before"),"",IF(C320&lt;&gt;"","","Prepare MIDAS Table Update request to amend existing information using this e-mail template:"))</f>
        <v>Prepare MIDAS Table Update request to amend existing information using this e-mail template:</v>
      </c>
      <c r="G325" s="84" t="str">
        <f>IF(AND(G246="rejected",'3. Registration'!U5="New product/s never assessed before"),"",IF(C320&lt;&gt;"","","62020942"))</f>
        <v>62020942</v>
      </c>
      <c r="H325" s="9"/>
      <c r="I325" s="50"/>
      <c r="J325" s="35"/>
      <c r="M325" s="326"/>
      <c r="N325" s="104"/>
    </row>
    <row r="326" spans="2:14" ht="15" hidden="1" outlineLevel="2">
      <c r="B326" s="115"/>
      <c r="C326" s="569"/>
      <c r="D326"/>
      <c r="E326"/>
      <c r="F326" s="84"/>
      <c r="G326" s="9"/>
      <c r="H326" s="9"/>
      <c r="I326" s="50"/>
      <c r="J326" s="35"/>
      <c r="M326" s="326"/>
      <c r="N326" s="104"/>
    </row>
    <row r="327" spans="2:14" ht="15" hidden="1" customHeight="1" outlineLevel="2">
      <c r="B327" s="115"/>
      <c r="C327" s="569"/>
      <c r="D327"/>
      <c r="E327"/>
      <c r="F327" s="81" t="s">
        <v>243</v>
      </c>
      <c r="G327" s="476" t="str">
        <f>IF(G246="rejected","0","&lt; enter time taken &gt;")</f>
        <v>&lt; enter time taken &gt;</v>
      </c>
      <c r="H327" s="508"/>
      <c r="I327" s="50"/>
      <c r="J327" s="35"/>
      <c r="M327" s="326"/>
      <c r="N327" s="104"/>
    </row>
    <row r="328" spans="2:14" ht="15" hidden="1" outlineLevel="2">
      <c r="B328" s="115"/>
      <c r="C328" s="569"/>
      <c r="D328" s="114"/>
      <c r="E328" s="114"/>
      <c r="F328" s="9"/>
      <c r="G328" s="9"/>
      <c r="H328" s="9"/>
      <c r="I328" s="50"/>
      <c r="J328" s="116"/>
      <c r="M328" s="326"/>
      <c r="N328" s="104"/>
    </row>
    <row r="329" spans="2:14" ht="15" hidden="1" customHeight="1" outlineLevel="2">
      <c r="B329" s="23"/>
      <c r="C329" s="569"/>
      <c r="D329" s="146"/>
      <c r="E329" s="146"/>
      <c r="F329" s="325" t="str">
        <f>IF(G327="0",G327&amp;" minutes must be entered on the KPI sheet as a",IF(G327="&lt; enter time taken &gt;","",IF(C320&lt;&gt;"","",G327&amp;" minutes must be entered on the KPI sheet as a")))</f>
        <v/>
      </c>
      <c r="G329" s="476" t="str">
        <f>IF(G327="0","REQUEST MIDAS UPDATE activity.",IF(G327="&lt; enter time taken &gt;","",IF(C320&lt;&gt;"","","REQUEST MIDAS UPDATE activity.")))</f>
        <v/>
      </c>
      <c r="H329" s="529"/>
      <c r="I329" s="50"/>
      <c r="J329" s="26"/>
      <c r="K329" s="127"/>
      <c r="M329" s="326"/>
    </row>
    <row r="330" spans="2:14" ht="14.45" hidden="1" outlineLevel="2">
      <c r="B330" s="115"/>
      <c r="C330" s="569"/>
      <c r="D330"/>
      <c r="E330"/>
      <c r="F330" s="9"/>
      <c r="G330" s="9"/>
      <c r="H330" s="9"/>
      <c r="I330" s="50"/>
      <c r="J330" s="35"/>
      <c r="M330" s="326"/>
    </row>
    <row r="331" spans="2:14" s="45" customFormat="1" ht="15" hidden="1" customHeight="1" outlineLevel="2">
      <c r="B331" s="115"/>
      <c r="C331" s="570"/>
      <c r="D331" s="114"/>
      <c r="E331" s="114"/>
      <c r="F331" s="81" t="s">
        <v>244</v>
      </c>
      <c r="G331" s="492" t="s">
        <v>135</v>
      </c>
      <c r="H331" s="534"/>
      <c r="I331" s="50"/>
      <c r="J331" s="26"/>
      <c r="M331" s="326"/>
    </row>
    <row r="332" spans="2:14" s="45" customFormat="1" ht="15" hidden="1" customHeight="1" outlineLevel="2">
      <c r="B332" s="115"/>
      <c r="C332" s="570"/>
      <c r="D332" s="114"/>
      <c r="E332" s="114"/>
      <c r="F332" s="81"/>
      <c r="G332" s="82"/>
      <c r="H332" s="83"/>
      <c r="I332" s="50"/>
      <c r="J332" s="26"/>
      <c r="M332" s="326"/>
    </row>
    <row r="333" spans="2:14" ht="14.45" hidden="1" outlineLevel="2">
      <c r="B333" s="115"/>
      <c r="C333" s="45"/>
      <c r="J333" s="35"/>
      <c r="M333" s="326"/>
    </row>
    <row r="334" spans="2:14" ht="15" hidden="1" customHeight="1" outlineLevel="1" collapsed="1">
      <c r="B334" s="537" t="s">
        <v>245</v>
      </c>
      <c r="C334" s="702"/>
      <c r="D334" s="702"/>
      <c r="E334" s="702"/>
      <c r="F334" s="702"/>
      <c r="G334" s="702"/>
      <c r="H334" s="702"/>
      <c r="I334" s="702"/>
      <c r="J334" s="704"/>
      <c r="M334" s="114"/>
    </row>
    <row r="335" spans="2:14" ht="14.45" hidden="1" outlineLevel="2">
      <c r="B335" s="115"/>
      <c r="C335" s="9"/>
      <c r="D335" s="9"/>
      <c r="E335" s="9"/>
      <c r="F335" s="9"/>
      <c r="G335" s="9"/>
      <c r="H335" s="9"/>
      <c r="I335" s="50"/>
      <c r="J335" s="35"/>
      <c r="M335" s="114"/>
    </row>
    <row r="336" spans="2:14" ht="14.45" hidden="1" outlineLevel="2">
      <c r="B336" s="115"/>
      <c r="C336" s="9"/>
      <c r="D336" s="9"/>
      <c r="E336" s="9"/>
      <c r="F336" s="80" t="s">
        <v>246</v>
      </c>
      <c r="G336" s="84">
        <v>58941674</v>
      </c>
      <c r="H336" s="9"/>
      <c r="I336" s="50"/>
      <c r="J336" s="35"/>
    </row>
    <row r="337" spans="2:11" ht="14.45" hidden="1" outlineLevel="2">
      <c r="B337" s="115"/>
      <c r="C337" s="9"/>
      <c r="D337" s="9"/>
      <c r="E337" s="9"/>
      <c r="F337" s="9"/>
      <c r="G337" s="9"/>
      <c r="H337" s="9"/>
      <c r="I337" s="50"/>
      <c r="J337" s="35"/>
    </row>
    <row r="338" spans="2:11" ht="15" hidden="1" customHeight="1" outlineLevel="2">
      <c r="B338" s="115"/>
      <c r="C338" s="9"/>
      <c r="D338" s="9"/>
      <c r="E338" s="9"/>
      <c r="F338" s="81" t="s">
        <v>247</v>
      </c>
      <c r="G338" s="476" t="s">
        <v>97</v>
      </c>
      <c r="H338" s="508"/>
      <c r="I338" s="50"/>
      <c r="J338" s="35"/>
    </row>
    <row r="339" spans="2:11" ht="14.45" hidden="1" outlineLevel="2">
      <c r="B339" s="115"/>
      <c r="C339" s="114"/>
      <c r="D339" s="114"/>
      <c r="E339" s="114"/>
      <c r="F339" s="9"/>
      <c r="G339" s="9"/>
      <c r="H339" s="9"/>
      <c r="I339" s="50"/>
      <c r="J339" s="116"/>
    </row>
    <row r="340" spans="2:11" ht="15" hidden="1" customHeight="1" outlineLevel="2">
      <c r="B340" s="23"/>
      <c r="C340" s="9"/>
      <c r="D340" s="146"/>
      <c r="E340" s="146"/>
      <c r="F340" s="325" t="str">
        <f>IF(G338="&lt; enter time taken &gt;","",G338&amp;" minutes must be entered on the KPI sheet as")</f>
        <v/>
      </c>
      <c r="G340" s="476" t="str">
        <f>IF(G338="&lt; enter time taken &gt;","","ONGOING GENERAL QUERIES &amp; REPLIES activity.")</f>
        <v/>
      </c>
      <c r="H340" s="530"/>
      <c r="I340" s="50"/>
      <c r="J340" s="26"/>
      <c r="K340" s="127"/>
    </row>
    <row r="341" spans="2:11" ht="14.45" hidden="1" outlineLevel="2">
      <c r="B341" s="115"/>
      <c r="C341" s="9"/>
      <c r="D341" s="9"/>
      <c r="E341" s="9"/>
      <c r="F341" s="9"/>
      <c r="G341" s="9"/>
      <c r="H341" s="9"/>
      <c r="I341" s="50"/>
      <c r="J341" s="35"/>
    </row>
    <row r="342" spans="2:11" s="45" customFormat="1" ht="15" hidden="1" customHeight="1" outlineLevel="2">
      <c r="B342" s="115"/>
      <c r="C342" s="114"/>
      <c r="D342" s="114"/>
      <c r="E342" s="114"/>
      <c r="F342" s="81" t="s">
        <v>248</v>
      </c>
      <c r="G342" s="492" t="s">
        <v>135</v>
      </c>
      <c r="H342" s="534"/>
      <c r="I342" s="50"/>
      <c r="J342" s="26"/>
    </row>
    <row r="343" spans="2:11" s="45" customFormat="1" ht="15" hidden="1" customHeight="1" outlineLevel="2">
      <c r="B343" s="115"/>
      <c r="C343" s="114"/>
      <c r="D343" s="114"/>
      <c r="E343" s="114"/>
      <c r="F343" s="81"/>
      <c r="G343" s="82"/>
      <c r="H343" s="83"/>
      <c r="I343" s="50"/>
      <c r="J343" s="26"/>
    </row>
    <row r="344" spans="2:11" ht="14.45" hidden="1" outlineLevel="2">
      <c r="B344" s="115"/>
      <c r="C344" s="45"/>
      <c r="J344" s="35"/>
    </row>
    <row r="345" spans="2:11" ht="15" hidden="1" customHeight="1" outlineLevel="1" collapsed="1">
      <c r="B345" s="537" t="s">
        <v>249</v>
      </c>
      <c r="C345" s="702"/>
      <c r="D345" s="702"/>
      <c r="E345" s="702"/>
      <c r="F345" s="702"/>
      <c r="G345" s="702"/>
      <c r="H345" s="702"/>
      <c r="I345" s="702"/>
      <c r="J345" s="704"/>
    </row>
    <row r="346" spans="2:11" ht="14.45" hidden="1" outlineLevel="2">
      <c r="B346" s="115"/>
      <c r="C346" s="9"/>
      <c r="D346" s="9"/>
      <c r="E346" s="9"/>
      <c r="F346" s="9"/>
      <c r="G346" s="9"/>
      <c r="H346" s="9"/>
      <c r="I346" s="50"/>
      <c r="J346" s="35"/>
    </row>
    <row r="347" spans="2:11" ht="15" hidden="1" customHeight="1" outlineLevel="2">
      <c r="B347" s="115"/>
      <c r="C347" s="9"/>
      <c r="D347" s="535" t="str">
        <f>IF(G219="rejected","As the appraisal has been rejected then check with Manager Trade Waste if a bill is to be raised.","Click here to complete the Request To Raise Revenue (once the 'RRR' tab is open).")</f>
        <v>Click here to complete the Request To Raise Revenue (once the 'RRR' tab is open).</v>
      </c>
      <c r="E347" s="536"/>
      <c r="F347" s="536"/>
      <c r="G347" s="536"/>
      <c r="H347" s="9"/>
      <c r="I347" s="50"/>
      <c r="J347" s="35"/>
    </row>
    <row r="348" spans="2:11" ht="14.45" hidden="1" outlineLevel="2">
      <c r="B348" s="115"/>
      <c r="C348" s="9"/>
      <c r="D348" s="9"/>
      <c r="E348" s="9"/>
      <c r="F348" s="9"/>
      <c r="G348" s="9"/>
      <c r="H348" s="9"/>
      <c r="I348" s="50"/>
      <c r="J348" s="35"/>
    </row>
    <row r="349" spans="2:11" ht="15" hidden="1" customHeight="1" outlineLevel="2">
      <c r="B349" s="115"/>
      <c r="C349" s="9"/>
      <c r="D349" s="9"/>
      <c r="E349" s="9"/>
      <c r="F349" s="81" t="str">
        <f>IF(AND(G246="rejected",'3. Registration'!U5="New product/s never assessed before"),"","Time taken for Billing (minutes):")</f>
        <v>Time taken for Billing (minutes):</v>
      </c>
      <c r="G349" s="476" t="str">
        <f>IF(AND(G246="rejected",'3. Registration'!U5="New product/s never assessed before"),"","&lt; enter time taken &gt;")</f>
        <v>&lt; enter time taken &gt;</v>
      </c>
      <c r="H349" s="508"/>
      <c r="I349" s="50"/>
      <c r="J349" s="35"/>
    </row>
    <row r="350" spans="2:11" ht="14.45" hidden="1" outlineLevel="2">
      <c r="B350" s="115"/>
      <c r="C350" s="114"/>
      <c r="D350" s="114"/>
      <c r="E350" s="114"/>
      <c r="F350" s="9"/>
      <c r="G350" s="9"/>
      <c r="H350" s="9"/>
      <c r="I350" s="50"/>
      <c r="J350" s="116"/>
    </row>
    <row r="351" spans="2:11" ht="15" hidden="1" customHeight="1" outlineLevel="2">
      <c r="B351" s="23"/>
      <c r="C351" s="9"/>
      <c r="D351" s="146"/>
      <c r="E351" s="146"/>
      <c r="F351" s="325" t="str">
        <f>IF(G349="&lt; enter time taken &gt;","",G349&amp;" minutes must be entered on the KPI sheet as a")</f>
        <v/>
      </c>
      <c r="G351" s="476" t="str">
        <f>IF(G349="&lt; enter time taken &gt;","","BILLING activity.")</f>
        <v/>
      </c>
      <c r="H351" s="530"/>
      <c r="I351" s="50"/>
      <c r="J351" s="26"/>
      <c r="K351" s="127"/>
    </row>
    <row r="352" spans="2:11" ht="14.45" hidden="1" outlineLevel="2">
      <c r="B352" s="115"/>
      <c r="C352" s="9"/>
      <c r="D352" s="9"/>
      <c r="E352" s="9"/>
      <c r="F352" s="9"/>
      <c r="G352" s="9"/>
      <c r="H352" s="9"/>
      <c r="I352" s="50"/>
      <c r="J352" s="35"/>
    </row>
    <row r="353" spans="2:15" s="45" customFormat="1" ht="15" hidden="1" customHeight="1" outlineLevel="2">
      <c r="B353" s="115"/>
      <c r="C353" s="114"/>
      <c r="D353" s="114"/>
      <c r="E353" s="114"/>
      <c r="F353" s="81" t="s">
        <v>250</v>
      </c>
      <c r="G353" s="492" t="s">
        <v>135</v>
      </c>
      <c r="H353" s="534"/>
      <c r="I353" s="50"/>
      <c r="J353" s="35"/>
    </row>
    <row r="354" spans="2:15" s="45" customFormat="1" ht="15" hidden="1" customHeight="1" outlineLevel="2">
      <c r="B354" s="115"/>
      <c r="C354" s="114"/>
      <c r="D354" s="114"/>
      <c r="E354" s="114"/>
      <c r="F354" s="81"/>
      <c r="G354" s="82"/>
      <c r="H354" s="83"/>
      <c r="I354" s="50"/>
      <c r="J354" s="35"/>
    </row>
    <row r="355" spans="2:15" ht="14.45" hidden="1" outlineLevel="2">
      <c r="B355" s="28"/>
      <c r="C355" s="30"/>
      <c r="D355" s="36"/>
      <c r="E355" s="36"/>
      <c r="F355" s="36"/>
      <c r="G355" s="36"/>
      <c r="H355" s="36"/>
      <c r="I355" s="36"/>
      <c r="J355" s="37"/>
    </row>
    <row r="356" spans="2:15" hidden="1" outlineLevel="1"/>
    <row r="358" spans="2:15" ht="15.6" collapsed="1">
      <c r="B358" s="111" t="str">
        <f>IF('3. Registration'!U5="&lt; SELECT HERE! &gt;",      "",
      IF('3. Registration'!U5='(admin) Drop Down Variables'!D12,      "Review Sheet for Expired Only Product/s With No Change Since Previous Approval",
      ""))</f>
        <v/>
      </c>
    </row>
    <row r="359" spans="2:15" ht="15.6" hidden="1" outlineLevel="1" collapsed="1">
      <c r="B359" s="698" t="s">
        <v>120</v>
      </c>
      <c r="C359" s="699"/>
      <c r="D359" s="699"/>
      <c r="E359" s="699"/>
      <c r="F359" s="699"/>
      <c r="G359" s="699"/>
      <c r="H359" s="699"/>
      <c r="I359" s="699"/>
      <c r="J359" s="699"/>
    </row>
    <row r="360" spans="2:15" ht="14.45" hidden="1" outlineLevel="2">
      <c r="B360" s="22"/>
      <c r="C360" s="24"/>
      <c r="D360" s="24"/>
      <c r="E360" s="24"/>
      <c r="F360" s="24"/>
      <c r="G360" s="24"/>
      <c r="H360" s="24"/>
      <c r="I360" s="24"/>
      <c r="J360" s="25"/>
    </row>
    <row r="361" spans="2:15" ht="14.45" hidden="1" outlineLevel="2">
      <c r="B361" s="23"/>
      <c r="C361" s="9"/>
      <c r="D361" s="9"/>
      <c r="E361" s="9"/>
      <c r="F361" s="9"/>
      <c r="G361" s="9"/>
      <c r="H361" s="9"/>
      <c r="I361" s="9"/>
      <c r="J361" s="26"/>
    </row>
    <row r="362" spans="2:15" ht="15" hidden="1" customHeight="1" outlineLevel="2">
      <c r="B362" s="23"/>
      <c r="C362" s="538" t="str">
        <f>'3. Registration'!D39</f>
        <v/>
      </c>
      <c r="D362" s="539"/>
      <c r="E362" s="539"/>
      <c r="F362" s="539"/>
      <c r="G362" s="539"/>
      <c r="H362" s="144"/>
      <c r="I362" s="9"/>
      <c r="J362" s="26"/>
    </row>
    <row r="363" spans="2:15" ht="14.45" hidden="1" outlineLevel="2">
      <c r="B363" s="23"/>
      <c r="C363" s="9"/>
      <c r="D363" s="9"/>
      <c r="E363" s="9"/>
      <c r="F363" s="9"/>
      <c r="G363" s="9"/>
      <c r="H363" s="9"/>
      <c r="I363" s="9"/>
      <c r="J363" s="26"/>
    </row>
    <row r="364" spans="2:15" ht="14.45" hidden="1" outlineLevel="2">
      <c r="B364" s="23"/>
      <c r="C364" s="9"/>
      <c r="D364" s="9"/>
      <c r="E364" s="145" t="s">
        <v>121</v>
      </c>
      <c r="F364" s="357" t="str">
        <f>'3. Registration'!L32</f>
        <v/>
      </c>
      <c r="G364"/>
      <c r="H364"/>
      <c r="I364" s="9"/>
      <c r="J364" s="26"/>
      <c r="K364" s="128"/>
      <c r="L364" s="128"/>
      <c r="M364" s="128"/>
      <c r="N364" s="128"/>
      <c r="O364" s="128"/>
    </row>
    <row r="365" spans="2:15" ht="15" hidden="1" customHeight="1" outlineLevel="2">
      <c r="B365" s="23"/>
      <c r="C365" s="9"/>
      <c r="D365"/>
      <c r="E365" s="145" t="s">
        <v>122</v>
      </c>
      <c r="F365" s="357" t="str">
        <f>'3. Registration'!L33</f>
        <v/>
      </c>
      <c r="G365"/>
      <c r="H365" s="9"/>
      <c r="I365" s="9"/>
      <c r="J365" s="26"/>
      <c r="K365" s="129"/>
    </row>
    <row r="366" spans="2:15" ht="15" hidden="1" customHeight="1" outlineLevel="2">
      <c r="B366" s="23"/>
      <c r="C366" s="9"/>
      <c r="D366"/>
      <c r="E366" s="145" t="s">
        <v>123</v>
      </c>
      <c r="F366" s="487" t="str">
        <f>'3. Registration'!L34</f>
        <v/>
      </c>
      <c r="G366" s="489"/>
      <c r="H366" s="489"/>
      <c r="I366" s="9"/>
      <c r="J366" s="26"/>
      <c r="K366" s="129"/>
    </row>
    <row r="367" spans="2:15" ht="15" hidden="1" customHeight="1" outlineLevel="2">
      <c r="B367" s="23"/>
      <c r="C367" s="9"/>
      <c r="D367"/>
      <c r="E367" s="145" t="s">
        <v>124</v>
      </c>
      <c r="F367" s="487" t="str">
        <f>'3. Registration'!L35</f>
        <v/>
      </c>
      <c r="G367" s="489"/>
      <c r="H367" s="489"/>
      <c r="I367" s="9"/>
      <c r="J367" s="26"/>
      <c r="K367" s="135"/>
    </row>
    <row r="368" spans="2:15" ht="15" hidden="1" customHeight="1" outlineLevel="2">
      <c r="B368" s="23"/>
      <c r="C368" s="9"/>
      <c r="D368"/>
      <c r="E368" s="145" t="s">
        <v>125</v>
      </c>
      <c r="F368" s="357" t="str">
        <f>'3. Registration'!L36</f>
        <v/>
      </c>
      <c r="G368"/>
      <c r="H368" s="9"/>
      <c r="I368" s="9"/>
      <c r="J368" s="26"/>
      <c r="K368" s="135"/>
    </row>
    <row r="369" spans="2:25" ht="14.45" hidden="1" outlineLevel="2">
      <c r="B369" s="23"/>
      <c r="C369" s="9"/>
      <c r="D369" s="9"/>
      <c r="E369" s="9"/>
      <c r="F369" s="9"/>
      <c r="G369" s="9"/>
      <c r="H369" s="9"/>
      <c r="I369" s="9"/>
      <c r="J369" s="26"/>
    </row>
    <row r="370" spans="2:25" ht="12.75" hidden="1" customHeight="1" outlineLevel="2">
      <c r="B370" s="23"/>
      <c r="C370" s="9"/>
      <c r="D370" s="9"/>
      <c r="E370" s="145" t="s">
        <v>126</v>
      </c>
      <c r="F370" s="546" t="str">
        <f>'3. Registration'!U5</f>
        <v>&lt; SELECT HERE! &gt;</v>
      </c>
      <c r="G370" s="489"/>
      <c r="H370" s="9"/>
      <c r="I370" s="9"/>
      <c r="J370" s="26"/>
      <c r="K370" s="136"/>
    </row>
    <row r="371" spans="2:25" ht="14.45" hidden="1" outlineLevel="2">
      <c r="B371" s="23"/>
      <c r="C371" s="9"/>
      <c r="D371" s="9"/>
      <c r="E371" s="9"/>
      <c r="F371" s="9"/>
      <c r="G371" s="9"/>
      <c r="H371" s="9"/>
      <c r="I371" s="9"/>
      <c r="J371" s="26"/>
    </row>
    <row r="372" spans="2:25" ht="14.45" hidden="1" outlineLevel="2">
      <c r="B372" s="23"/>
      <c r="C372" s="528" t="s">
        <v>127</v>
      </c>
      <c r="D372" s="678"/>
      <c r="E372" s="678"/>
      <c r="F372" s="252" t="s">
        <v>128</v>
      </c>
      <c r="G372"/>
      <c r="H372"/>
      <c r="I372" s="9"/>
      <c r="J372" s="26"/>
      <c r="K372" s="128"/>
    </row>
    <row r="373" spans="2:25" ht="14.45" hidden="1" outlineLevel="2">
      <c r="B373" s="23"/>
      <c r="C373" s="528" t="s">
        <v>129</v>
      </c>
      <c r="D373" s="678"/>
      <c r="E373" s="678"/>
      <c r="F373" s="252" t="s">
        <v>130</v>
      </c>
      <c r="G373"/>
      <c r="H373"/>
      <c r="I373" s="9"/>
      <c r="J373" s="26"/>
      <c r="K373" s="128"/>
    </row>
    <row r="374" spans="2:25" ht="12.75" hidden="1" customHeight="1" outlineLevel="2">
      <c r="B374" s="23"/>
      <c r="C374" s="9"/>
      <c r="D374" s="9"/>
      <c r="E374" s="9"/>
      <c r="F374" s="9"/>
      <c r="G374" s="9"/>
      <c r="H374" s="9"/>
      <c r="I374" s="9"/>
      <c r="J374" s="26"/>
    </row>
    <row r="375" spans="2:25" ht="15" hidden="1" customHeight="1" outlineLevel="2">
      <c r="B375" s="23"/>
      <c r="C375" s="9"/>
      <c r="D375" s="146"/>
      <c r="E375" s="146"/>
      <c r="F375" s="81" t="s">
        <v>133</v>
      </c>
      <c r="G375" s="133">
        <f>IF('3. Registration'!U5='(admin) Drop Down Variables'!D12,"&lt; enter time taken &gt;",0)</f>
        <v>0</v>
      </c>
      <c r="H375" s="9"/>
      <c r="I375" s="9"/>
      <c r="J375" s="26"/>
      <c r="K375" s="127"/>
    </row>
    <row r="376" spans="2:25" ht="15" hidden="1" customHeight="1" outlineLevel="2">
      <c r="B376" s="23"/>
      <c r="C376" s="9"/>
      <c r="D376" s="146"/>
      <c r="E376" s="146"/>
      <c r="F376" s="81"/>
      <c r="G376" s="133"/>
      <c r="H376" s="73"/>
      <c r="I376" s="9"/>
      <c r="J376" s="26"/>
      <c r="K376" s="127"/>
    </row>
    <row r="377" spans="2:25" ht="15" hidden="1" customHeight="1" outlineLevel="2">
      <c r="B377" s="23"/>
      <c r="C377" s="9"/>
      <c r="D377" s="146"/>
      <c r="E377" s="146"/>
      <c r="F377" s="325" t="str">
        <f>IF(G375="&lt; enter time taken &gt;","",'6. RRR'!AA27&amp;" minutes must be entered on the KPI sheet as an ")</f>
        <v xml:space="preserve">no time? minutes must be entered on the KPI sheet as an </v>
      </c>
      <c r="G377" s="476" t="str">
        <f>IF(G375="&lt; enter time taken &gt;","","ESTABLISH NEXUS FOLDER activity.")</f>
        <v>ESTABLISH NEXUS FOLDER activity.</v>
      </c>
      <c r="H377" s="529"/>
      <c r="I377" s="9"/>
      <c r="J377" s="26"/>
      <c r="K377" s="127"/>
    </row>
    <row r="378" spans="2:25" ht="14.45" hidden="1" outlineLevel="2">
      <c r="B378" s="23"/>
      <c r="C378" s="9"/>
      <c r="D378" s="9"/>
      <c r="E378" s="9"/>
      <c r="F378" s="9"/>
      <c r="G378" s="9"/>
      <c r="H378" s="9"/>
      <c r="I378" s="9"/>
      <c r="J378" s="26"/>
    </row>
    <row r="379" spans="2:25" s="45" customFormat="1" ht="13.5" hidden="1" customHeight="1" outlineLevel="2">
      <c r="B379" s="23"/>
      <c r="C379" s="76"/>
      <c r="D379" s="76"/>
      <c r="E379" s="76"/>
      <c r="F379" s="81" t="s">
        <v>134</v>
      </c>
      <c r="G379" s="492" t="s">
        <v>135</v>
      </c>
      <c r="H379" s="534"/>
      <c r="I379" s="73"/>
      <c r="J379" s="26"/>
    </row>
    <row r="380" spans="2:25" ht="14.45" hidden="1" outlineLevel="2">
      <c r="B380" s="23"/>
      <c r="C380" s="9"/>
      <c r="D380" s="9"/>
      <c r="E380" s="9"/>
      <c r="F380" s="9"/>
      <c r="G380" s="9"/>
      <c r="H380" s="9"/>
      <c r="I380" s="9"/>
      <c r="J380" s="26"/>
    </row>
    <row r="381" spans="2:25" ht="14.45" hidden="1" outlineLevel="2">
      <c r="B381" s="23"/>
      <c r="C381" s="27"/>
      <c r="D381" s="27"/>
      <c r="E381" s="27"/>
      <c r="F381" s="27"/>
      <c r="G381" s="27"/>
      <c r="H381" s="27"/>
      <c r="I381" s="27"/>
      <c r="J381" s="26"/>
    </row>
    <row r="382" spans="2:25" ht="15" hidden="1" customHeight="1" outlineLevel="1" collapsed="1">
      <c r="B382" s="537" t="s">
        <v>136</v>
      </c>
      <c r="C382" s="702"/>
      <c r="D382" s="702"/>
      <c r="E382" s="702"/>
      <c r="F382" s="702"/>
      <c r="G382" s="702"/>
      <c r="H382" s="702"/>
      <c r="I382" s="702"/>
      <c r="J382" s="704"/>
      <c r="K382" s="562" t="s">
        <v>137</v>
      </c>
      <c r="L382" s="705"/>
      <c r="M382" s="705"/>
      <c r="N382" s="705"/>
      <c r="O382" s="705"/>
      <c r="P382" s="705"/>
      <c r="Q382" s="705"/>
      <c r="R382" s="705"/>
      <c r="S382" s="705"/>
      <c r="T382" s="705"/>
      <c r="U382" s="705"/>
      <c r="V382" s="705"/>
      <c r="W382" s="705"/>
      <c r="X382" s="705"/>
      <c r="Y382" s="705"/>
    </row>
    <row r="383" spans="2:25" ht="23.25" hidden="1" customHeight="1" outlineLevel="2">
      <c r="B383" s="23"/>
      <c r="C383" s="147" t="s">
        <v>138</v>
      </c>
      <c r="D383" s="147" t="s">
        <v>139</v>
      </c>
      <c r="E383" s="706" t="s">
        <v>140</v>
      </c>
      <c r="F383" s="707"/>
      <c r="G383" s="147" t="s">
        <v>141</v>
      </c>
      <c r="H383" s="708" t="s">
        <v>142</v>
      </c>
      <c r="I383" s="709"/>
      <c r="J383" s="26"/>
      <c r="K383" s="710"/>
      <c r="L383" s="705"/>
      <c r="M383" s="705"/>
      <c r="N383" s="705"/>
      <c r="O383" s="705"/>
      <c r="P383" s="705"/>
      <c r="Q383" s="705"/>
      <c r="R383" s="705"/>
      <c r="S383" s="705"/>
      <c r="T383" s="705"/>
      <c r="U383" s="705"/>
      <c r="V383" s="705"/>
      <c r="W383" s="705"/>
      <c r="X383" s="705"/>
      <c r="Y383" s="705"/>
    </row>
    <row r="384" spans="2:25" ht="12" hidden="1" customHeight="1" outlineLevel="2">
      <c r="B384" s="23"/>
      <c r="C384" s="353" t="str">
        <f>'4. Panel Member Index'!E14</f>
        <v>&lt;add relevant review person here&gt;</v>
      </c>
      <c r="D384" s="148" t="str">
        <f>'4. Panel Member Index'!P14</f>
        <v>(pick skill set)</v>
      </c>
      <c r="E384" s="149" t="s">
        <v>143</v>
      </c>
      <c r="F384" s="150" t="s">
        <v>144</v>
      </c>
      <c r="G384" s="151" t="s">
        <v>145</v>
      </c>
      <c r="H384" s="559"/>
      <c r="I384" s="716"/>
      <c r="J384" s="26"/>
    </row>
    <row r="385" spans="2:26" ht="11.25" hidden="1" customHeight="1" outlineLevel="2">
      <c r="B385" s="23"/>
      <c r="C385" s="553" t="str">
        <f>IF(AND('3. Registration'!U5&lt;&gt;'(admin) Drop Down Variables'!D11,C384='(admin) Drop Down Variables'!D36),"Steve, please make sure you seek feedback from Regional officers relating to this product reappraisal.","")</f>
        <v/>
      </c>
      <c r="D385" s="152"/>
      <c r="E385" s="153" t="s">
        <v>143</v>
      </c>
      <c r="F385" s="154" t="s">
        <v>144</v>
      </c>
      <c r="G385" s="155"/>
      <c r="H385" s="560"/>
      <c r="I385" s="717"/>
      <c r="J385" s="26"/>
    </row>
    <row r="386" spans="2:26" ht="11.25" hidden="1" customHeight="1" outlineLevel="2">
      <c r="B386" s="23"/>
      <c r="C386" s="554"/>
      <c r="D386" s="152"/>
      <c r="E386" s="153" t="s">
        <v>143</v>
      </c>
      <c r="F386" s="154" t="s">
        <v>144</v>
      </c>
      <c r="G386" s="155"/>
      <c r="H386" s="560"/>
      <c r="I386" s="717"/>
      <c r="J386" s="26"/>
    </row>
    <row r="387" spans="2:26" ht="11.25" hidden="1" customHeight="1" outlineLevel="2">
      <c r="B387" s="23"/>
      <c r="C387" s="554"/>
      <c r="D387" s="152"/>
      <c r="E387" s="153" t="s">
        <v>143</v>
      </c>
      <c r="F387" s="154" t="s">
        <v>144</v>
      </c>
      <c r="G387" s="155"/>
      <c r="H387" s="560"/>
      <c r="I387" s="717"/>
      <c r="J387" s="26"/>
    </row>
    <row r="388" spans="2:26" ht="11.25" hidden="1" customHeight="1" outlineLevel="2">
      <c r="B388" s="23"/>
      <c r="C388" s="554"/>
      <c r="D388" s="152"/>
      <c r="E388" s="153" t="s">
        <v>143</v>
      </c>
      <c r="F388" s="154" t="s">
        <v>144</v>
      </c>
      <c r="G388" s="155"/>
      <c r="H388" s="560"/>
      <c r="I388" s="717"/>
      <c r="J388" s="26"/>
    </row>
    <row r="389" spans="2:26" ht="11.25" hidden="1" customHeight="1" outlineLevel="2">
      <c r="B389" s="23"/>
      <c r="C389" s="554"/>
      <c r="D389" s="152"/>
      <c r="E389" s="153" t="s">
        <v>143</v>
      </c>
      <c r="F389" s="154" t="s">
        <v>144</v>
      </c>
      <c r="G389" s="155"/>
      <c r="H389" s="560"/>
      <c r="I389" s="717"/>
      <c r="J389" s="26"/>
    </row>
    <row r="390" spans="2:26" ht="11.25" hidden="1" customHeight="1" outlineLevel="2">
      <c r="B390" s="23"/>
      <c r="C390" s="554"/>
      <c r="D390" s="152"/>
      <c r="E390" s="153" t="s">
        <v>143</v>
      </c>
      <c r="F390" s="154" t="s">
        <v>144</v>
      </c>
      <c r="G390" s="155"/>
      <c r="H390" s="560"/>
      <c r="I390" s="717"/>
      <c r="J390" s="26"/>
    </row>
    <row r="391" spans="2:26" ht="11.25" hidden="1" customHeight="1" outlineLevel="2">
      <c r="B391" s="23"/>
      <c r="C391" s="554"/>
      <c r="D391" s="152"/>
      <c r="E391" s="153" t="s">
        <v>143</v>
      </c>
      <c r="F391" s="154" t="s">
        <v>144</v>
      </c>
      <c r="G391" s="155"/>
      <c r="H391" s="560"/>
      <c r="I391" s="717"/>
      <c r="J391" s="26"/>
    </row>
    <row r="392" spans="2:26" ht="11.25" hidden="1" customHeight="1" outlineLevel="2">
      <c r="B392" s="23"/>
      <c r="C392" s="554"/>
      <c r="D392" s="152"/>
      <c r="E392" s="153" t="s">
        <v>143</v>
      </c>
      <c r="F392" s="154" t="s">
        <v>144</v>
      </c>
      <c r="G392" s="155"/>
      <c r="H392" s="560"/>
      <c r="I392" s="717"/>
      <c r="J392" s="26"/>
    </row>
    <row r="393" spans="2:26" ht="11.25" hidden="1" customHeight="1" outlineLevel="2">
      <c r="B393" s="23"/>
      <c r="C393" s="554"/>
      <c r="D393" s="152"/>
      <c r="E393" s="153" t="s">
        <v>143</v>
      </c>
      <c r="F393" s="154" t="s">
        <v>144</v>
      </c>
      <c r="G393" s="155"/>
      <c r="H393" s="560"/>
      <c r="I393" s="717"/>
      <c r="J393" s="26"/>
    </row>
    <row r="394" spans="2:26" ht="11.25" hidden="1" customHeight="1" outlineLevel="2">
      <c r="B394" s="23"/>
      <c r="C394" s="554"/>
      <c r="D394" s="152"/>
      <c r="E394" s="153" t="s">
        <v>143</v>
      </c>
      <c r="F394" s="154" t="s">
        <v>144</v>
      </c>
      <c r="G394" s="155"/>
      <c r="H394" s="560"/>
      <c r="I394" s="717"/>
      <c r="J394" s="26"/>
      <c r="K394" s="711"/>
      <c r="L394" s="711"/>
      <c r="M394" s="711"/>
      <c r="N394" s="711"/>
      <c r="O394" s="711"/>
      <c r="P394" s="711"/>
      <c r="Q394" s="711"/>
      <c r="R394" s="711"/>
    </row>
    <row r="395" spans="2:26" ht="11.25" hidden="1" customHeight="1" outlineLevel="2">
      <c r="B395" s="23"/>
      <c r="C395" s="554"/>
      <c r="D395" s="152"/>
      <c r="E395" s="153" t="s">
        <v>143</v>
      </c>
      <c r="F395" s="154" t="s">
        <v>144</v>
      </c>
      <c r="G395" s="155"/>
      <c r="H395" s="560"/>
      <c r="I395" s="717"/>
      <c r="J395" s="26"/>
      <c r="K395" s="564"/>
      <c r="L395" s="565"/>
      <c r="M395" s="565"/>
      <c r="N395" s="565"/>
      <c r="O395" s="565"/>
      <c r="P395" s="565"/>
      <c r="Q395" s="565"/>
      <c r="R395" s="565"/>
      <c r="S395" s="700"/>
      <c r="T395" s="700"/>
      <c r="U395" s="700"/>
    </row>
    <row r="396" spans="2:26" ht="11.25" hidden="1" customHeight="1" outlineLevel="2">
      <c r="B396" s="23"/>
      <c r="C396" s="555"/>
      <c r="D396" s="156"/>
      <c r="E396" s="157" t="s">
        <v>143</v>
      </c>
      <c r="F396" s="158" t="s">
        <v>144</v>
      </c>
      <c r="G396" s="159"/>
      <c r="H396" s="561"/>
      <c r="I396" s="718"/>
      <c r="J396" s="26"/>
      <c r="K396" s="566"/>
      <c r="L396" s="565"/>
      <c r="M396" s="565"/>
      <c r="N396" s="565"/>
      <c r="O396" s="565"/>
      <c r="P396" s="565"/>
      <c r="Q396" s="565"/>
      <c r="R396" s="565"/>
      <c r="S396" s="700"/>
      <c r="T396" s="700"/>
      <c r="U396" s="700"/>
    </row>
    <row r="397" spans="2:26" ht="14.45" hidden="1" outlineLevel="2">
      <c r="B397" s="115"/>
      <c r="C397" s="114"/>
      <c r="D397" s="114"/>
      <c r="E397" s="114"/>
      <c r="F397" s="9"/>
      <c r="G397" s="9"/>
      <c r="H397" s="9"/>
      <c r="I397" s="9"/>
      <c r="J397" s="116"/>
    </row>
    <row r="398" spans="2:26" ht="14.45" hidden="1" outlineLevel="2">
      <c r="B398" s="115"/>
      <c r="C398" s="114"/>
      <c r="D398" s="114"/>
      <c r="E398" s="114"/>
      <c r="F398" s="46" t="s">
        <v>201</v>
      </c>
      <c r="G398" s="480">
        <v>150589064</v>
      </c>
      <c r="H398" s="556"/>
      <c r="I398" s="9"/>
      <c r="J398" s="116"/>
      <c r="L398" s="557" t="s">
        <v>179</v>
      </c>
      <c r="M398" s="558"/>
      <c r="N398" s="558"/>
      <c r="O398" s="558"/>
      <c r="P398" s="558"/>
      <c r="Q398" s="558"/>
      <c r="R398" s="558"/>
      <c r="S398" s="558"/>
      <c r="T398" s="558"/>
      <c r="U398" s="558"/>
      <c r="V398" s="558"/>
      <c r="W398" s="558"/>
      <c r="X398" s="558"/>
      <c r="Y398" s="558"/>
      <c r="Z398" s="678"/>
    </row>
    <row r="399" spans="2:26" ht="15" hidden="1" customHeight="1" outlineLevel="2">
      <c r="B399" s="115"/>
      <c r="C399" s="114"/>
      <c r="D399" s="114"/>
      <c r="E399" s="114"/>
      <c r="F399" s="81" t="s">
        <v>180</v>
      </c>
      <c r="G399" s="476" t="s">
        <v>181</v>
      </c>
      <c r="H399" s="508"/>
      <c r="I399" s="9"/>
      <c r="J399" s="116"/>
      <c r="K399" s="139" t="s">
        <v>182</v>
      </c>
      <c r="L399" s="558"/>
      <c r="M399" s="558"/>
      <c r="N399" s="558"/>
      <c r="O399" s="558"/>
      <c r="P399" s="558"/>
      <c r="Q399" s="558"/>
      <c r="R399" s="558"/>
      <c r="S399" s="558"/>
      <c r="T399" s="558"/>
      <c r="U399" s="558"/>
      <c r="V399" s="558"/>
      <c r="W399" s="558"/>
      <c r="X399" s="558"/>
      <c r="Y399" s="558"/>
      <c r="Z399" s="678"/>
    </row>
    <row r="400" spans="2:26" ht="15" hidden="1" customHeight="1" outlineLevel="2">
      <c r="B400" s="115"/>
      <c r="C400" s="114"/>
      <c r="D400" s="114"/>
      <c r="E400" s="114"/>
      <c r="F400" s="81" t="s">
        <v>251</v>
      </c>
      <c r="G400" s="476" t="s">
        <v>97</v>
      </c>
      <c r="H400" s="508"/>
      <c r="I400" s="9"/>
      <c r="J400" s="116"/>
      <c r="K400" s="139"/>
      <c r="L400" s="558"/>
      <c r="M400" s="558"/>
      <c r="N400" s="558"/>
      <c r="O400" s="558"/>
      <c r="P400" s="558"/>
      <c r="Q400" s="558"/>
      <c r="R400" s="558"/>
      <c r="S400" s="558"/>
      <c r="T400" s="558"/>
      <c r="U400" s="558"/>
      <c r="V400" s="558"/>
      <c r="W400" s="558"/>
      <c r="X400" s="558"/>
      <c r="Y400" s="558"/>
      <c r="Z400" s="678"/>
    </row>
    <row r="401" spans="2:26" ht="15" hidden="1" customHeight="1" outlineLevel="2">
      <c r="B401" s="115"/>
      <c r="C401" s="114"/>
      <c r="D401" s="114"/>
      <c r="E401" s="114"/>
      <c r="F401" s="114"/>
      <c r="G401" s="114"/>
      <c r="H401" s="50"/>
      <c r="I401" s="9"/>
      <c r="J401" s="116"/>
      <c r="L401" s="558"/>
      <c r="M401" s="558"/>
      <c r="N401" s="558"/>
      <c r="O401" s="558"/>
      <c r="P401" s="558"/>
      <c r="Q401" s="558"/>
      <c r="R401" s="558"/>
      <c r="S401" s="558"/>
      <c r="T401" s="558"/>
      <c r="U401" s="558"/>
      <c r="V401" s="558"/>
      <c r="W401" s="558"/>
      <c r="X401" s="558"/>
      <c r="Y401" s="558"/>
      <c r="Z401" s="678"/>
    </row>
    <row r="402" spans="2:26" ht="15" hidden="1" customHeight="1" outlineLevel="2">
      <c r="B402" s="23"/>
      <c r="C402" s="9"/>
      <c r="D402" s="146"/>
      <c r="E402" s="146"/>
      <c r="F402" s="325" t="str">
        <f>IF(H384="","","A total of "&amp;SUM(H384)&amp;" minutes must be entered on the KPI sheet as individial lines of")</f>
        <v/>
      </c>
      <c r="G402" s="476" t="str">
        <f>IF(H384="","","INDIVIDUAL REVIEWS activities.")</f>
        <v/>
      </c>
      <c r="H402" s="529"/>
      <c r="I402" s="73"/>
      <c r="J402" s="26"/>
      <c r="K402" s="127"/>
    </row>
    <row r="403" spans="2:26" ht="15" hidden="1" customHeight="1" outlineLevel="2">
      <c r="B403" s="23"/>
      <c r="C403" s="9"/>
      <c r="D403" s="146"/>
      <c r="E403" s="146"/>
      <c r="F403" s="325" t="str">
        <f>IF(G400="&lt; enter time taken &gt;","",G400&amp;" minutes must be entered on the KPI sheet as a")</f>
        <v/>
      </c>
      <c r="G403" s="476" t="str">
        <f>IF(G400="&lt; enter time taken &gt;","","FINAL SUMMARY PROPOSAL activity.")</f>
        <v/>
      </c>
      <c r="H403" s="530"/>
      <c r="I403" s="73"/>
      <c r="J403" s="26"/>
      <c r="K403" s="127"/>
    </row>
    <row r="404" spans="2:26" ht="13.5" hidden="1" customHeight="1" outlineLevel="2">
      <c r="B404" s="23"/>
      <c r="C404" s="9"/>
      <c r="D404" s="9"/>
      <c r="E404" s="161"/>
      <c r="F404" s="120"/>
      <c r="G404" s="162"/>
      <c r="H404" s="163"/>
      <c r="I404" s="73"/>
      <c r="J404" s="26"/>
      <c r="K404" s="134"/>
      <c r="L404" s="134"/>
      <c r="M404" s="134"/>
      <c r="N404" s="134"/>
      <c r="O404" s="134"/>
      <c r="P404" s="134"/>
      <c r="Q404" s="134"/>
      <c r="R404" s="134"/>
    </row>
    <row r="405" spans="2:26" s="45" customFormat="1" ht="15" hidden="1" customHeight="1" outlineLevel="2">
      <c r="B405" s="23"/>
      <c r="C405" s="76"/>
      <c r="D405" s="76"/>
      <c r="E405" s="76"/>
      <c r="F405" s="81" t="s">
        <v>134</v>
      </c>
      <c r="G405" s="492" t="s">
        <v>135</v>
      </c>
      <c r="H405" s="534"/>
      <c r="I405" s="9"/>
      <c r="J405" s="26"/>
    </row>
    <row r="406" spans="2:26" s="45" customFormat="1" ht="15" hidden="1" customHeight="1" outlineLevel="2">
      <c r="B406" s="23"/>
      <c r="C406" s="76"/>
      <c r="D406" s="76"/>
      <c r="E406" s="76"/>
      <c r="F406" s="81"/>
      <c r="G406" s="82"/>
      <c r="H406" s="83"/>
      <c r="I406" s="9"/>
      <c r="J406" s="26"/>
    </row>
    <row r="407" spans="2:26" ht="14.45" hidden="1" outlineLevel="2">
      <c r="B407" s="28"/>
      <c r="C407" s="30"/>
      <c r="D407" s="30"/>
      <c r="E407" s="30"/>
      <c r="F407" s="30"/>
      <c r="G407" s="30"/>
      <c r="H407" s="30"/>
      <c r="I407" s="30"/>
      <c r="J407" s="31"/>
      <c r="K407" s="134"/>
      <c r="L407" s="134"/>
      <c r="M407" s="134"/>
      <c r="N407" s="134"/>
      <c r="O407" s="134"/>
      <c r="P407" s="134"/>
      <c r="Q407" s="134"/>
      <c r="R407" s="134"/>
    </row>
    <row r="408" spans="2:26" ht="15" hidden="1" customHeight="1" outlineLevel="1" collapsed="1">
      <c r="B408" s="551" t="s">
        <v>252</v>
      </c>
      <c r="C408" s="703"/>
      <c r="D408" s="703"/>
      <c r="E408" s="703"/>
      <c r="F408" s="703"/>
      <c r="G408" s="703"/>
      <c r="H408" s="703"/>
      <c r="I408" s="703"/>
      <c r="J408" s="712"/>
    </row>
    <row r="409" spans="2:26" s="128" customFormat="1" ht="14.45" hidden="1" outlineLevel="2">
      <c r="B409" s="115"/>
      <c r="C409" s="114"/>
      <c r="D409" s="114"/>
      <c r="E409" s="114"/>
      <c r="F409" s="114"/>
      <c r="G409" s="114"/>
      <c r="H409" s="114"/>
      <c r="I409" s="73"/>
      <c r="J409" s="116"/>
    </row>
    <row r="410" spans="2:26" ht="15" hidden="1" customHeight="1" outlineLevel="2">
      <c r="B410" s="115"/>
      <c r="C410" s="114"/>
      <c r="D410" s="114"/>
      <c r="E410" s="114"/>
      <c r="F410" s="81" t="s">
        <v>205</v>
      </c>
      <c r="G410" s="540" t="s">
        <v>206</v>
      </c>
      <c r="H410" s="713"/>
      <c r="I410" s="73"/>
      <c r="J410" s="116"/>
    </row>
    <row r="411" spans="2:26" ht="15" hidden="1" customHeight="1" outlineLevel="2">
      <c r="B411" s="115"/>
      <c r="C411" s="114"/>
      <c r="D411" s="114"/>
      <c r="E411" s="146"/>
      <c r="F411" s="81" t="s">
        <v>207</v>
      </c>
      <c r="G411" s="133" t="s">
        <v>208</v>
      </c>
      <c r="H411" s="9"/>
      <c r="I411" s="73"/>
      <c r="J411" s="116"/>
    </row>
    <row r="412" spans="2:26" ht="15" hidden="1" customHeight="1" outlineLevel="2">
      <c r="B412" s="115"/>
      <c r="C412" s="114"/>
      <c r="D412" s="114"/>
      <c r="E412" s="9"/>
      <c r="F412" s="9"/>
      <c r="G412" s="133" t="s">
        <v>208</v>
      </c>
      <c r="H412" s="9"/>
      <c r="I412" s="73"/>
      <c r="J412" s="116"/>
    </row>
    <row r="413" spans="2:26" ht="15" hidden="1" customHeight="1" outlineLevel="2">
      <c r="B413" s="115"/>
      <c r="C413" s="114"/>
      <c r="D413" s="114"/>
      <c r="E413" s="9"/>
      <c r="F413" s="9"/>
      <c r="G413" s="133" t="s">
        <v>208</v>
      </c>
      <c r="H413" s="9"/>
      <c r="I413" s="73"/>
      <c r="J413" s="116"/>
    </row>
    <row r="414" spans="2:26" ht="15" hidden="1" customHeight="1" outlineLevel="2">
      <c r="B414" s="115"/>
      <c r="C414" s="114"/>
      <c r="D414" s="114"/>
      <c r="E414" s="9"/>
      <c r="F414" s="9"/>
      <c r="G414" s="133" t="s">
        <v>208</v>
      </c>
      <c r="H414" s="9"/>
      <c r="I414" s="73"/>
      <c r="J414" s="116"/>
    </row>
    <row r="415" spans="2:26" ht="15" hidden="1" customHeight="1" outlineLevel="2">
      <c r="B415" s="115"/>
      <c r="C415" s="114"/>
      <c r="D415" s="114"/>
      <c r="E415" s="9"/>
      <c r="F415" s="9"/>
      <c r="G415" s="133" t="s">
        <v>208</v>
      </c>
      <c r="H415" s="9"/>
      <c r="I415" s="73"/>
      <c r="J415" s="116"/>
    </row>
    <row r="416" spans="2:26" ht="15" hidden="1" customHeight="1" outlineLevel="2">
      <c r="B416" s="115"/>
      <c r="C416" s="114"/>
      <c r="D416" s="114"/>
      <c r="E416" s="9"/>
      <c r="F416" s="9"/>
      <c r="G416" s="133"/>
      <c r="H416" s="9"/>
      <c r="I416" s="73"/>
      <c r="J416" s="116"/>
    </row>
    <row r="417" spans="2:21" s="128" customFormat="1" ht="14.45" hidden="1" outlineLevel="2">
      <c r="B417" s="115"/>
      <c r="C417" s="114"/>
      <c r="D417" s="114"/>
      <c r="E417" s="114"/>
      <c r="F417" s="75" t="s">
        <v>253</v>
      </c>
      <c r="G417" s="147" t="s">
        <v>150</v>
      </c>
      <c r="H417" s="147" t="s">
        <v>1</v>
      </c>
      <c r="I417" s="73"/>
      <c r="J417" s="116"/>
    </row>
    <row r="418" spans="2:21" ht="14.45" hidden="1" outlineLevel="2">
      <c r="B418" s="115"/>
      <c r="C418" s="114"/>
      <c r="D418" s="114"/>
      <c r="E418" s="168" t="s">
        <v>152</v>
      </c>
      <c r="F418" s="169"/>
      <c r="G418" s="180" t="s">
        <v>100</v>
      </c>
      <c r="H418" s="180" t="s">
        <v>100</v>
      </c>
      <c r="I418" s="73"/>
      <c r="J418" s="116"/>
      <c r="K418" s="711"/>
      <c r="L418" s="711"/>
      <c r="M418" s="711"/>
      <c r="N418" s="711"/>
      <c r="O418" s="711"/>
      <c r="P418" s="711"/>
      <c r="Q418" s="711"/>
      <c r="R418" s="711"/>
    </row>
    <row r="419" spans="2:21" ht="14.45" hidden="1" outlineLevel="2">
      <c r="B419" s="115"/>
      <c r="C419" s="114"/>
      <c r="D419" s="114"/>
      <c r="E419" s="168" t="s">
        <v>156</v>
      </c>
      <c r="F419" s="169"/>
      <c r="G419" s="180" t="s">
        <v>100</v>
      </c>
      <c r="H419" s="180" t="s">
        <v>100</v>
      </c>
      <c r="I419" s="73"/>
      <c r="J419" s="116"/>
    </row>
    <row r="420" spans="2:21" ht="14.45" hidden="1" outlineLevel="2">
      <c r="B420" s="115"/>
      <c r="C420" s="114"/>
      <c r="D420" s="114"/>
      <c r="E420" s="168" t="s">
        <v>157</v>
      </c>
      <c r="F420" s="169"/>
      <c r="G420" s="180" t="s">
        <v>100</v>
      </c>
      <c r="H420" s="180" t="s">
        <v>100</v>
      </c>
      <c r="I420" s="73"/>
      <c r="J420" s="116"/>
    </row>
    <row r="421" spans="2:21" ht="14.45" hidden="1" outlineLevel="2">
      <c r="B421" s="115"/>
      <c r="C421" s="114"/>
      <c r="D421" s="114"/>
      <c r="E421" s="168" t="s">
        <v>158</v>
      </c>
      <c r="F421" s="169"/>
      <c r="G421" s="180" t="s">
        <v>100</v>
      </c>
      <c r="H421" s="180" t="s">
        <v>100</v>
      </c>
      <c r="I421" s="73"/>
      <c r="J421" s="116"/>
    </row>
    <row r="422" spans="2:21" ht="14.45" hidden="1" outlineLevel="2">
      <c r="B422" s="115"/>
      <c r="C422" s="114"/>
      <c r="D422" s="114"/>
      <c r="E422" s="168" t="s">
        <v>159</v>
      </c>
      <c r="F422" s="169"/>
      <c r="G422" s="180" t="s">
        <v>100</v>
      </c>
      <c r="H422" s="180" t="s">
        <v>100</v>
      </c>
      <c r="I422" s="73"/>
      <c r="J422" s="116"/>
    </row>
    <row r="423" spans="2:21" ht="14.45" hidden="1" outlineLevel="2">
      <c r="B423" s="115"/>
      <c r="C423" s="114"/>
      <c r="D423" s="114"/>
      <c r="E423" s="168" t="s">
        <v>160</v>
      </c>
      <c r="F423" s="169"/>
      <c r="G423" s="180" t="s">
        <v>100</v>
      </c>
      <c r="H423" s="180" t="s">
        <v>100</v>
      </c>
      <c r="I423" s="73"/>
      <c r="J423" s="116"/>
    </row>
    <row r="424" spans="2:21" ht="14.45" hidden="1" outlineLevel="2">
      <c r="B424" s="115"/>
      <c r="C424" s="114"/>
      <c r="D424" s="114"/>
      <c r="E424" s="168" t="s">
        <v>161</v>
      </c>
      <c r="F424" s="169"/>
      <c r="G424" s="180" t="s">
        <v>100</v>
      </c>
      <c r="H424" s="180" t="s">
        <v>100</v>
      </c>
      <c r="I424" s="73"/>
      <c r="J424" s="116"/>
    </row>
    <row r="425" spans="2:21" ht="14.45" hidden="1" outlineLevel="2">
      <c r="B425" s="115"/>
      <c r="C425" s="114"/>
      <c r="D425" s="114"/>
      <c r="E425" s="168" t="s">
        <v>162</v>
      </c>
      <c r="F425" s="169"/>
      <c r="G425" s="180" t="s">
        <v>100</v>
      </c>
      <c r="H425" s="180" t="s">
        <v>100</v>
      </c>
      <c r="I425" s="73"/>
      <c r="J425" s="116"/>
    </row>
    <row r="426" spans="2:21" ht="14.45" hidden="1" outlineLevel="2">
      <c r="B426" s="115"/>
      <c r="C426" s="114"/>
      <c r="D426" s="114"/>
      <c r="E426" s="168" t="s">
        <v>163</v>
      </c>
      <c r="F426" s="169"/>
      <c r="G426" s="180" t="s">
        <v>100</v>
      </c>
      <c r="H426" s="180" t="s">
        <v>100</v>
      </c>
      <c r="I426" s="73"/>
      <c r="J426" s="116"/>
      <c r="K426" s="564"/>
      <c r="L426" s="565"/>
      <c r="M426" s="565"/>
      <c r="N426" s="565"/>
      <c r="O426" s="565"/>
      <c r="P426" s="565"/>
      <c r="Q426" s="565"/>
      <c r="R426" s="565"/>
      <c r="S426" s="700"/>
      <c r="T426" s="700"/>
      <c r="U426" s="700"/>
    </row>
    <row r="427" spans="2:21" ht="14.45" hidden="1" outlineLevel="2">
      <c r="B427" s="115"/>
      <c r="C427" s="114"/>
      <c r="D427" s="114"/>
      <c r="E427" s="168" t="s">
        <v>164</v>
      </c>
      <c r="F427" s="169"/>
      <c r="G427" s="181" t="s">
        <v>100</v>
      </c>
      <c r="H427" s="181" t="s">
        <v>100</v>
      </c>
      <c r="I427" s="73"/>
      <c r="J427" s="116"/>
      <c r="K427" s="566"/>
      <c r="L427" s="565"/>
      <c r="M427" s="565"/>
      <c r="N427" s="565"/>
      <c r="O427" s="565"/>
      <c r="P427" s="565"/>
      <c r="Q427" s="565"/>
      <c r="R427" s="565"/>
      <c r="S427" s="700"/>
      <c r="T427" s="700"/>
      <c r="U427" s="700"/>
    </row>
    <row r="428" spans="2:21" ht="14.45" hidden="1" outlineLevel="2">
      <c r="B428" s="115"/>
      <c r="C428" s="114"/>
      <c r="D428" s="114"/>
      <c r="E428" s="114"/>
      <c r="F428" s="9"/>
      <c r="G428" s="9"/>
      <c r="H428" s="9"/>
      <c r="I428" s="73"/>
      <c r="J428" s="116"/>
      <c r="L428" s="140"/>
    </row>
    <row r="429" spans="2:21" ht="15" hidden="1" customHeight="1" outlineLevel="2">
      <c r="B429" s="115"/>
      <c r="C429" s="114"/>
      <c r="D429" s="114"/>
      <c r="E429" s="114"/>
      <c r="F429" s="81" t="s">
        <v>202</v>
      </c>
      <c r="G429" s="476" t="s">
        <v>97</v>
      </c>
      <c r="H429" s="508"/>
      <c r="I429" s="73"/>
      <c r="J429" s="116"/>
    </row>
    <row r="430" spans="2:21" ht="14.45" hidden="1" outlineLevel="2">
      <c r="B430" s="115"/>
      <c r="C430" s="114"/>
      <c r="D430" s="114"/>
      <c r="E430" s="114"/>
      <c r="F430" s="9"/>
      <c r="G430" s="9"/>
      <c r="H430" s="9"/>
      <c r="I430" s="73"/>
      <c r="J430" s="116"/>
    </row>
    <row r="431" spans="2:21" ht="15" hidden="1" customHeight="1" outlineLevel="2">
      <c r="B431" s="23"/>
      <c r="C431" s="9"/>
      <c r="D431" s="146"/>
      <c r="E431" s="146"/>
      <c r="F431" s="325" t="str">
        <f>IF(G429="&lt; enter time taken &gt;","",G429&amp;" minutes must be entered on the KPI sheet as a")</f>
        <v/>
      </c>
      <c r="G431" s="476" t="str">
        <f>IF(G429="&lt; enter time taken &gt;","","FINAL SUMMARY PROPOSAL activity.")</f>
        <v/>
      </c>
      <c r="H431" s="529"/>
      <c r="I431" s="73"/>
      <c r="J431" s="26"/>
      <c r="K431" s="127"/>
    </row>
    <row r="432" spans="2:21" ht="13.5" hidden="1" customHeight="1" outlineLevel="2">
      <c r="B432" s="23"/>
      <c r="C432" s="9"/>
      <c r="D432" s="9"/>
      <c r="E432" s="161"/>
      <c r="F432" s="120"/>
      <c r="G432" s="162"/>
      <c r="H432" s="163"/>
      <c r="I432" s="73"/>
      <c r="J432" s="26"/>
      <c r="K432" s="134"/>
      <c r="L432" s="134"/>
      <c r="M432" s="134"/>
      <c r="N432" s="134"/>
      <c r="O432" s="134"/>
      <c r="P432" s="134"/>
      <c r="Q432" s="134"/>
      <c r="R432" s="134"/>
    </row>
    <row r="433" spans="2:11" s="45" customFormat="1" ht="15.75" hidden="1" customHeight="1" outlineLevel="2">
      <c r="B433" s="115"/>
      <c r="C433" s="114"/>
      <c r="D433" s="114"/>
      <c r="E433" s="114"/>
      <c r="F433" s="81" t="s">
        <v>187</v>
      </c>
      <c r="G433" s="492" t="s">
        <v>135</v>
      </c>
      <c r="H433" s="534"/>
      <c r="I433" s="73"/>
      <c r="J433" s="116"/>
    </row>
    <row r="434" spans="2:11" s="45" customFormat="1" ht="15.75" hidden="1" customHeight="1" outlineLevel="2">
      <c r="B434" s="115"/>
      <c r="C434" s="114"/>
      <c r="D434" s="114"/>
      <c r="E434" s="114"/>
      <c r="F434" s="81"/>
      <c r="G434" s="82"/>
      <c r="H434" s="83"/>
      <c r="I434" s="73"/>
      <c r="J434" s="116"/>
    </row>
    <row r="435" spans="2:11" s="45" customFormat="1" ht="13.5" hidden="1" customHeight="1" outlineLevel="2">
      <c r="B435" s="115"/>
      <c r="F435" s="29"/>
      <c r="G435" s="33"/>
      <c r="H435" s="33"/>
      <c r="I435" s="33"/>
      <c r="J435" s="116"/>
    </row>
    <row r="436" spans="2:11" ht="15" hidden="1" customHeight="1" outlineLevel="1" collapsed="1">
      <c r="B436" s="537" t="s">
        <v>254</v>
      </c>
      <c r="C436" s="702"/>
      <c r="D436" s="702"/>
      <c r="E436" s="702"/>
      <c r="F436" s="702"/>
      <c r="G436" s="702"/>
      <c r="H436" s="702"/>
      <c r="I436" s="702"/>
      <c r="J436" s="704"/>
    </row>
    <row r="437" spans="2:11" ht="14.45" hidden="1" outlineLevel="2">
      <c r="B437" s="115"/>
      <c r="C437" s="114"/>
      <c r="D437" s="563"/>
      <c r="E437" s="678"/>
      <c r="F437" s="678"/>
      <c r="G437" s="678"/>
      <c r="H437" s="678"/>
      <c r="I437"/>
      <c r="J437" s="116"/>
    </row>
    <row r="438" spans="2:11" ht="21" hidden="1" customHeight="1" outlineLevel="2">
      <c r="B438" s="115"/>
      <c r="C438" s="114"/>
      <c r="D438" s="118" t="s">
        <v>147</v>
      </c>
      <c r="E438" s="197" t="s">
        <v>148</v>
      </c>
      <c r="F438" s="164" t="s">
        <v>149</v>
      </c>
      <c r="G438" s="165" t="s">
        <v>150</v>
      </c>
      <c r="H438" s="165" t="s">
        <v>1</v>
      </c>
      <c r="I438" s="113"/>
      <c r="J438" s="116"/>
    </row>
    <row r="439" spans="2:11" ht="14.45" hidden="1" outlineLevel="2">
      <c r="B439" s="115"/>
      <c r="C439" s="114"/>
      <c r="D439" s="119">
        <v>1</v>
      </c>
      <c r="E439" s="198" t="s">
        <v>152</v>
      </c>
      <c r="F439" s="186"/>
      <c r="G439" s="187" t="s">
        <v>100</v>
      </c>
      <c r="H439" s="187" t="s">
        <v>100</v>
      </c>
      <c r="I439" s="113"/>
      <c r="J439" s="116"/>
    </row>
    <row r="440" spans="2:11" ht="15" hidden="1" customHeight="1" outlineLevel="2">
      <c r="B440" s="115"/>
      <c r="C440" s="114"/>
      <c r="D440" s="119">
        <v>2</v>
      </c>
      <c r="E440" s="199" t="s">
        <v>152</v>
      </c>
      <c r="F440" s="188" t="s">
        <v>153</v>
      </c>
      <c r="G440" s="189"/>
      <c r="H440" s="189"/>
      <c r="I440" s="113"/>
      <c r="J440" s="116"/>
      <c r="K440" s="134"/>
    </row>
    <row r="441" spans="2:11" ht="15" hidden="1" customHeight="1" outlineLevel="2">
      <c r="B441" s="115"/>
      <c r="C441" s="114"/>
      <c r="D441" s="119">
        <v>3</v>
      </c>
      <c r="E441" s="203" t="s">
        <v>152</v>
      </c>
      <c r="F441" s="196" t="s">
        <v>154</v>
      </c>
      <c r="G441" s="186"/>
      <c r="H441" s="187" t="s">
        <v>155</v>
      </c>
      <c r="I441" s="120"/>
      <c r="J441" s="116"/>
      <c r="K441" s="134"/>
    </row>
    <row r="442" spans="2:11" s="138" customFormat="1" ht="5.0999999999999996" hidden="1" customHeight="1" outlineLevel="2">
      <c r="B442" s="121"/>
      <c r="C442" s="122"/>
      <c r="D442" s="124">
        <v>4</v>
      </c>
      <c r="E442" s="200"/>
      <c r="F442" s="190"/>
      <c r="G442" s="191"/>
      <c r="H442" s="191"/>
      <c r="I442" s="125"/>
      <c r="J442" s="123"/>
      <c r="K442" s="137"/>
    </row>
    <row r="443" spans="2:11" ht="14.45" hidden="1" outlineLevel="2">
      <c r="B443" s="115"/>
      <c r="C443" s="114"/>
      <c r="D443" s="119">
        <v>1</v>
      </c>
      <c r="E443" s="201" t="s">
        <v>156</v>
      </c>
      <c r="F443" s="192"/>
      <c r="G443" s="193" t="s">
        <v>100</v>
      </c>
      <c r="H443" s="193" t="s">
        <v>100</v>
      </c>
      <c r="I443" s="113"/>
      <c r="J443" s="116"/>
    </row>
    <row r="444" spans="2:11" ht="15" hidden="1" customHeight="1" outlineLevel="2">
      <c r="B444" s="115"/>
      <c r="C444" s="114"/>
      <c r="D444" s="119">
        <v>2</v>
      </c>
      <c r="E444" s="202" t="s">
        <v>156</v>
      </c>
      <c r="F444" s="194" t="s">
        <v>153</v>
      </c>
      <c r="G444" s="195"/>
      <c r="H444" s="195"/>
      <c r="I444" s="113"/>
      <c r="J444" s="116"/>
      <c r="K444" s="134"/>
    </row>
    <row r="445" spans="2:11" ht="15" hidden="1" customHeight="1" outlineLevel="2">
      <c r="B445" s="115"/>
      <c r="C445" s="114"/>
      <c r="D445" s="119">
        <v>3</v>
      </c>
      <c r="E445" s="223" t="s">
        <v>156</v>
      </c>
      <c r="F445" s="221" t="s">
        <v>154</v>
      </c>
      <c r="G445" s="222"/>
      <c r="H445" s="242" t="s">
        <v>155</v>
      </c>
      <c r="I445" s="120"/>
      <c r="J445" s="116"/>
      <c r="K445" s="134"/>
    </row>
    <row r="446" spans="2:11" s="138" customFormat="1" ht="5.0999999999999996" hidden="1" customHeight="1" outlineLevel="2">
      <c r="B446" s="121"/>
      <c r="C446" s="122"/>
      <c r="D446" s="124">
        <v>4</v>
      </c>
      <c r="E446" s="200"/>
      <c r="F446" s="190"/>
      <c r="G446" s="191"/>
      <c r="H446" s="191"/>
      <c r="I446" s="125"/>
      <c r="J446" s="123"/>
      <c r="K446" s="137"/>
    </row>
    <row r="447" spans="2:11" ht="14.45" hidden="1" outlineLevel="2">
      <c r="B447" s="115"/>
      <c r="C447" s="114"/>
      <c r="D447" s="119">
        <v>1</v>
      </c>
      <c r="E447" s="198" t="s">
        <v>157</v>
      </c>
      <c r="F447" s="186"/>
      <c r="G447" s="187" t="s">
        <v>100</v>
      </c>
      <c r="H447" s="187" t="s">
        <v>100</v>
      </c>
      <c r="I447" s="113"/>
      <c r="J447" s="116"/>
    </row>
    <row r="448" spans="2:11" ht="15" hidden="1" customHeight="1" outlineLevel="2">
      <c r="B448" s="115"/>
      <c r="C448" s="114"/>
      <c r="D448" s="119">
        <v>2</v>
      </c>
      <c r="E448" s="199" t="s">
        <v>157</v>
      </c>
      <c r="F448" s="188" t="s">
        <v>153</v>
      </c>
      <c r="G448" s="189"/>
      <c r="H448" s="189"/>
      <c r="I448" s="113"/>
      <c r="J448" s="116"/>
      <c r="K448" s="134"/>
    </row>
    <row r="449" spans="2:11" ht="15" hidden="1" customHeight="1" outlineLevel="2">
      <c r="B449" s="115"/>
      <c r="C449" s="114"/>
      <c r="D449" s="119">
        <v>3</v>
      </c>
      <c r="E449" s="203" t="s">
        <v>157</v>
      </c>
      <c r="F449" s="196" t="s">
        <v>154</v>
      </c>
      <c r="G449" s="186"/>
      <c r="H449" s="187" t="s">
        <v>155</v>
      </c>
      <c r="I449" s="120"/>
      <c r="J449" s="116"/>
      <c r="K449" s="134"/>
    </row>
    <row r="450" spans="2:11" s="138" customFormat="1" ht="5.0999999999999996" hidden="1" customHeight="1" outlineLevel="2">
      <c r="B450" s="121"/>
      <c r="C450" s="122"/>
      <c r="D450" s="124">
        <v>4</v>
      </c>
      <c r="E450" s="200"/>
      <c r="F450" s="190"/>
      <c r="G450" s="191"/>
      <c r="H450" s="191"/>
      <c r="I450" s="125"/>
      <c r="J450" s="123"/>
      <c r="K450" s="137"/>
    </row>
    <row r="451" spans="2:11" ht="14.45" hidden="1" outlineLevel="2">
      <c r="B451" s="115"/>
      <c r="C451" s="114"/>
      <c r="D451" s="119">
        <v>1</v>
      </c>
      <c r="E451" s="201" t="s">
        <v>158</v>
      </c>
      <c r="F451" s="192"/>
      <c r="G451" s="193" t="s">
        <v>100</v>
      </c>
      <c r="H451" s="193" t="s">
        <v>100</v>
      </c>
      <c r="I451" s="113"/>
      <c r="J451" s="116"/>
    </row>
    <row r="452" spans="2:11" ht="15" hidden="1" customHeight="1" outlineLevel="2">
      <c r="B452" s="115"/>
      <c r="C452" s="114"/>
      <c r="D452" s="119">
        <v>2</v>
      </c>
      <c r="E452" s="202" t="s">
        <v>158</v>
      </c>
      <c r="F452" s="194" t="s">
        <v>153</v>
      </c>
      <c r="G452" s="195"/>
      <c r="H452" s="195"/>
      <c r="I452" s="113"/>
      <c r="J452" s="116"/>
      <c r="K452" s="134"/>
    </row>
    <row r="453" spans="2:11" ht="15" hidden="1" customHeight="1" outlineLevel="2">
      <c r="B453" s="115"/>
      <c r="C453" s="114"/>
      <c r="D453" s="119">
        <v>3</v>
      </c>
      <c r="E453" s="223" t="s">
        <v>158</v>
      </c>
      <c r="F453" s="221" t="s">
        <v>154</v>
      </c>
      <c r="G453" s="222"/>
      <c r="H453" s="242" t="s">
        <v>155</v>
      </c>
      <c r="I453" s="120"/>
      <c r="J453" s="116"/>
      <c r="K453" s="134"/>
    </row>
    <row r="454" spans="2:11" s="138" customFormat="1" ht="5.0999999999999996" hidden="1" customHeight="1" outlineLevel="2">
      <c r="B454" s="121"/>
      <c r="C454" s="122"/>
      <c r="D454" s="124">
        <v>4</v>
      </c>
      <c r="E454" s="200"/>
      <c r="F454" s="190"/>
      <c r="G454" s="191"/>
      <c r="H454" s="191"/>
      <c r="I454" s="125"/>
      <c r="J454" s="123"/>
      <c r="K454" s="137"/>
    </row>
    <row r="455" spans="2:11" ht="14.45" hidden="1" outlineLevel="2">
      <c r="B455" s="115"/>
      <c r="C455" s="114"/>
      <c r="D455" s="119">
        <v>1</v>
      </c>
      <c r="E455" s="198" t="s">
        <v>159</v>
      </c>
      <c r="F455" s="186"/>
      <c r="G455" s="187" t="s">
        <v>100</v>
      </c>
      <c r="H455" s="187" t="s">
        <v>100</v>
      </c>
      <c r="I455" s="113"/>
      <c r="J455" s="116"/>
    </row>
    <row r="456" spans="2:11" ht="15" hidden="1" customHeight="1" outlineLevel="2">
      <c r="B456" s="115"/>
      <c r="C456" s="114"/>
      <c r="D456" s="119">
        <v>2</v>
      </c>
      <c r="E456" s="199" t="s">
        <v>159</v>
      </c>
      <c r="F456" s="188" t="s">
        <v>153</v>
      </c>
      <c r="G456" s="189"/>
      <c r="H456" s="189"/>
      <c r="I456" s="113"/>
      <c r="J456" s="116"/>
      <c r="K456" s="134"/>
    </row>
    <row r="457" spans="2:11" ht="14.45" hidden="1" outlineLevel="2">
      <c r="B457" s="115"/>
      <c r="C457" s="114"/>
      <c r="D457" s="119">
        <v>3</v>
      </c>
      <c r="E457" s="203" t="s">
        <v>159</v>
      </c>
      <c r="F457" s="196" t="s">
        <v>154</v>
      </c>
      <c r="G457" s="186"/>
      <c r="H457" s="187" t="s">
        <v>155</v>
      </c>
      <c r="I457" s="120"/>
      <c r="J457" s="116"/>
      <c r="K457" s="134"/>
    </row>
    <row r="458" spans="2:11" s="138" customFormat="1" ht="5.0999999999999996" hidden="1" customHeight="1" outlineLevel="2">
      <c r="B458" s="121"/>
      <c r="C458" s="122"/>
      <c r="D458" s="124">
        <v>4</v>
      </c>
      <c r="E458" s="200"/>
      <c r="F458" s="190"/>
      <c r="G458" s="191"/>
      <c r="H458" s="191"/>
      <c r="I458" s="125"/>
      <c r="J458" s="123"/>
      <c r="K458" s="137"/>
    </row>
    <row r="459" spans="2:11" ht="14.45" hidden="1" outlineLevel="2">
      <c r="B459" s="115"/>
      <c r="C459" s="114"/>
      <c r="D459" s="119">
        <v>1</v>
      </c>
      <c r="E459" s="201" t="s">
        <v>160</v>
      </c>
      <c r="F459" s="192"/>
      <c r="G459" s="193" t="s">
        <v>100</v>
      </c>
      <c r="H459" s="193" t="s">
        <v>100</v>
      </c>
      <c r="I459" s="113"/>
      <c r="J459" s="116"/>
    </row>
    <row r="460" spans="2:11" ht="15" hidden="1" customHeight="1" outlineLevel="2">
      <c r="B460" s="115"/>
      <c r="C460" s="114"/>
      <c r="D460" s="119">
        <v>2</v>
      </c>
      <c r="E460" s="202" t="s">
        <v>160</v>
      </c>
      <c r="F460" s="194" t="s">
        <v>153</v>
      </c>
      <c r="G460" s="195"/>
      <c r="H460" s="195"/>
      <c r="I460" s="113"/>
      <c r="J460" s="116"/>
      <c r="K460" s="134"/>
    </row>
    <row r="461" spans="2:11" ht="15" hidden="1" customHeight="1" outlineLevel="2">
      <c r="B461" s="115"/>
      <c r="C461" s="114"/>
      <c r="D461" s="119">
        <v>3</v>
      </c>
      <c r="E461" s="223" t="s">
        <v>160</v>
      </c>
      <c r="F461" s="221" t="s">
        <v>154</v>
      </c>
      <c r="G461" s="222"/>
      <c r="H461" s="242" t="s">
        <v>155</v>
      </c>
      <c r="I461" s="120"/>
      <c r="J461" s="116"/>
      <c r="K461" s="134"/>
    </row>
    <row r="462" spans="2:11" s="138" customFormat="1" ht="5.0999999999999996" hidden="1" customHeight="1" outlineLevel="2">
      <c r="B462" s="121"/>
      <c r="C462" s="122"/>
      <c r="D462" s="124">
        <v>4</v>
      </c>
      <c r="E462" s="200"/>
      <c r="F462" s="190"/>
      <c r="G462" s="191"/>
      <c r="H462" s="191"/>
      <c r="I462" s="125"/>
      <c r="J462" s="123"/>
      <c r="K462" s="137"/>
    </row>
    <row r="463" spans="2:11" ht="14.45" hidden="1" outlineLevel="2">
      <c r="B463" s="115"/>
      <c r="C463" s="114"/>
      <c r="D463" s="119">
        <v>1</v>
      </c>
      <c r="E463" s="198" t="s">
        <v>161</v>
      </c>
      <c r="F463" s="186"/>
      <c r="G463" s="187" t="s">
        <v>100</v>
      </c>
      <c r="H463" s="187" t="s">
        <v>100</v>
      </c>
      <c r="I463" s="113"/>
      <c r="J463" s="116"/>
    </row>
    <row r="464" spans="2:11" ht="15" hidden="1" customHeight="1" outlineLevel="2">
      <c r="B464" s="115"/>
      <c r="C464" s="114"/>
      <c r="D464" s="119">
        <v>2</v>
      </c>
      <c r="E464" s="199" t="s">
        <v>161</v>
      </c>
      <c r="F464" s="188" t="s">
        <v>153</v>
      </c>
      <c r="G464" s="189"/>
      <c r="H464" s="189"/>
      <c r="I464" s="113"/>
      <c r="J464" s="116"/>
      <c r="K464" s="134"/>
    </row>
    <row r="465" spans="2:11" ht="15" hidden="1" customHeight="1" outlineLevel="2">
      <c r="B465" s="115"/>
      <c r="C465" s="114"/>
      <c r="D465" s="119">
        <v>3</v>
      </c>
      <c r="E465" s="203" t="s">
        <v>161</v>
      </c>
      <c r="F465" s="196" t="s">
        <v>154</v>
      </c>
      <c r="G465" s="186"/>
      <c r="H465" s="187" t="s">
        <v>155</v>
      </c>
      <c r="I465" s="120"/>
      <c r="J465" s="116"/>
      <c r="K465" s="134"/>
    </row>
    <row r="466" spans="2:11" s="138" customFormat="1" ht="5.0999999999999996" hidden="1" customHeight="1" outlineLevel="2">
      <c r="B466" s="121"/>
      <c r="C466" s="122"/>
      <c r="D466" s="124">
        <v>4</v>
      </c>
      <c r="E466" s="200"/>
      <c r="F466" s="190"/>
      <c r="G466" s="191"/>
      <c r="H466" s="191"/>
      <c r="I466" s="125"/>
      <c r="J466" s="123"/>
      <c r="K466" s="137"/>
    </row>
    <row r="467" spans="2:11" ht="14.45" hidden="1" outlineLevel="2">
      <c r="B467" s="115"/>
      <c r="C467" s="114"/>
      <c r="D467" s="119">
        <v>1</v>
      </c>
      <c r="E467" s="201" t="s">
        <v>162</v>
      </c>
      <c r="F467" s="192"/>
      <c r="G467" s="193" t="s">
        <v>100</v>
      </c>
      <c r="H467" s="193" t="s">
        <v>100</v>
      </c>
      <c r="I467" s="113"/>
      <c r="J467" s="116"/>
    </row>
    <row r="468" spans="2:11" ht="15" hidden="1" customHeight="1" outlineLevel="2">
      <c r="B468" s="115"/>
      <c r="C468" s="114"/>
      <c r="D468" s="119">
        <v>2</v>
      </c>
      <c r="E468" s="202" t="s">
        <v>162</v>
      </c>
      <c r="F468" s="194" t="s">
        <v>153</v>
      </c>
      <c r="G468" s="195"/>
      <c r="H468" s="195"/>
      <c r="I468" s="113"/>
      <c r="J468" s="116"/>
      <c r="K468" s="134"/>
    </row>
    <row r="469" spans="2:11" ht="15" hidden="1" customHeight="1" outlineLevel="2">
      <c r="B469" s="115"/>
      <c r="C469" s="114"/>
      <c r="D469" s="119">
        <v>3</v>
      </c>
      <c r="E469" s="223" t="s">
        <v>162</v>
      </c>
      <c r="F469" s="221" t="s">
        <v>154</v>
      </c>
      <c r="G469" s="222"/>
      <c r="H469" s="242" t="s">
        <v>155</v>
      </c>
      <c r="I469" s="120"/>
      <c r="J469" s="116"/>
      <c r="K469" s="134"/>
    </row>
    <row r="470" spans="2:11" s="138" customFormat="1" ht="5.0999999999999996" hidden="1" customHeight="1" outlineLevel="2">
      <c r="B470" s="121"/>
      <c r="C470" s="122"/>
      <c r="D470" s="124">
        <v>4</v>
      </c>
      <c r="E470" s="200"/>
      <c r="F470" s="190"/>
      <c r="G470" s="191"/>
      <c r="H470" s="191"/>
      <c r="I470" s="125"/>
      <c r="J470" s="123"/>
      <c r="K470" s="137"/>
    </row>
    <row r="471" spans="2:11" ht="14.45" hidden="1" outlineLevel="2">
      <c r="B471" s="115"/>
      <c r="C471" s="114"/>
      <c r="D471" s="119">
        <v>1</v>
      </c>
      <c r="E471" s="198" t="s">
        <v>163</v>
      </c>
      <c r="F471" s="186"/>
      <c r="G471" s="187" t="s">
        <v>100</v>
      </c>
      <c r="H471" s="187" t="s">
        <v>100</v>
      </c>
      <c r="I471" s="113"/>
      <c r="J471" s="116"/>
    </row>
    <row r="472" spans="2:11" ht="15" hidden="1" customHeight="1" outlineLevel="2">
      <c r="B472" s="115"/>
      <c r="C472" s="114"/>
      <c r="D472" s="119">
        <v>2</v>
      </c>
      <c r="E472" s="199" t="s">
        <v>163</v>
      </c>
      <c r="F472" s="188" t="s">
        <v>153</v>
      </c>
      <c r="G472" s="189"/>
      <c r="H472" s="189"/>
      <c r="I472" s="113"/>
      <c r="J472" s="116"/>
      <c r="K472" s="134"/>
    </row>
    <row r="473" spans="2:11" ht="15" hidden="1" customHeight="1" outlineLevel="2">
      <c r="B473" s="115"/>
      <c r="C473" s="114"/>
      <c r="D473" s="119">
        <v>3</v>
      </c>
      <c r="E473" s="203" t="s">
        <v>163</v>
      </c>
      <c r="F473" s="196" t="s">
        <v>154</v>
      </c>
      <c r="G473" s="186"/>
      <c r="H473" s="187" t="s">
        <v>155</v>
      </c>
      <c r="I473" s="120"/>
      <c r="J473" s="116"/>
      <c r="K473" s="134"/>
    </row>
    <row r="474" spans="2:11" s="138" customFormat="1" ht="5.0999999999999996" hidden="1" customHeight="1" outlineLevel="2">
      <c r="B474" s="121"/>
      <c r="C474" s="122"/>
      <c r="D474" s="124">
        <v>4</v>
      </c>
      <c r="E474" s="200"/>
      <c r="F474" s="190"/>
      <c r="G474" s="191"/>
      <c r="H474" s="191"/>
      <c r="I474" s="125"/>
      <c r="J474" s="123"/>
      <c r="K474" s="137"/>
    </row>
    <row r="475" spans="2:11" ht="14.45" hidden="1" outlineLevel="2">
      <c r="B475" s="115"/>
      <c r="C475" s="114"/>
      <c r="D475" s="119">
        <v>1</v>
      </c>
      <c r="E475" s="201" t="s">
        <v>164</v>
      </c>
      <c r="F475" s="192"/>
      <c r="G475" s="193" t="s">
        <v>100</v>
      </c>
      <c r="H475" s="193" t="s">
        <v>100</v>
      </c>
      <c r="I475" s="113"/>
      <c r="J475" s="116"/>
    </row>
    <row r="476" spans="2:11" ht="15" hidden="1" customHeight="1" outlineLevel="2">
      <c r="B476" s="115"/>
      <c r="C476" s="114"/>
      <c r="D476" s="119">
        <v>2</v>
      </c>
      <c r="E476" s="202" t="s">
        <v>164</v>
      </c>
      <c r="F476" s="194" t="s">
        <v>153</v>
      </c>
      <c r="G476" s="195"/>
      <c r="H476" s="195"/>
      <c r="I476" s="113"/>
      <c r="J476" s="116"/>
      <c r="K476" s="134"/>
    </row>
    <row r="477" spans="2:11" ht="15" hidden="1" customHeight="1" outlineLevel="2">
      <c r="B477" s="115"/>
      <c r="C477" s="114" t="s">
        <v>165</v>
      </c>
      <c r="D477" s="119">
        <v>3</v>
      </c>
      <c r="E477" s="223" t="s">
        <v>164</v>
      </c>
      <c r="F477" s="221" t="s">
        <v>154</v>
      </c>
      <c r="G477" s="222"/>
      <c r="H477" s="242" t="s">
        <v>155</v>
      </c>
      <c r="I477" s="120"/>
      <c r="J477" s="116"/>
      <c r="K477" s="134"/>
    </row>
    <row r="478" spans="2:11" s="138" customFormat="1" ht="5.0999999999999996" hidden="1" customHeight="1" outlineLevel="3">
      <c r="B478" s="121"/>
      <c r="C478" s="122"/>
      <c r="D478" s="124">
        <v>4</v>
      </c>
      <c r="E478" s="200"/>
      <c r="F478" s="190"/>
      <c r="G478" s="191"/>
      <c r="H478" s="191"/>
      <c r="I478" s="125"/>
      <c r="J478" s="123"/>
      <c r="K478" s="137"/>
    </row>
    <row r="479" spans="2:11" ht="14.45" hidden="1" outlineLevel="3">
      <c r="B479" s="115"/>
      <c r="C479" s="9"/>
      <c r="D479" s="119">
        <v>1</v>
      </c>
      <c r="E479" s="198" t="s">
        <v>166</v>
      </c>
      <c r="F479" s="186"/>
      <c r="G479" s="187" t="s">
        <v>100</v>
      </c>
      <c r="H479" s="187" t="s">
        <v>100</v>
      </c>
      <c r="I479" s="113"/>
      <c r="J479" s="116"/>
    </row>
    <row r="480" spans="2:11" ht="15" hidden="1" customHeight="1" outlineLevel="3">
      <c r="B480" s="115"/>
      <c r="C480" s="114"/>
      <c r="D480" s="119">
        <v>2</v>
      </c>
      <c r="E480" s="199" t="s">
        <v>152</v>
      </c>
      <c r="F480" s="188" t="s">
        <v>153</v>
      </c>
      <c r="G480" s="189"/>
      <c r="H480" s="189"/>
      <c r="I480" s="113"/>
      <c r="J480" s="116"/>
      <c r="K480" s="134"/>
    </row>
    <row r="481" spans="2:11" ht="15" hidden="1" customHeight="1" outlineLevel="3">
      <c r="B481" s="115"/>
      <c r="C481" s="114"/>
      <c r="D481" s="119">
        <v>3</v>
      </c>
      <c r="E481" s="203" t="s">
        <v>166</v>
      </c>
      <c r="F481" s="196" t="s">
        <v>154</v>
      </c>
      <c r="G481" s="186"/>
      <c r="H481" s="187" t="s">
        <v>155</v>
      </c>
      <c r="I481" s="120"/>
      <c r="J481" s="116"/>
      <c r="K481" s="134"/>
    </row>
    <row r="482" spans="2:11" s="138" customFormat="1" ht="5.0999999999999996" hidden="1" customHeight="1" outlineLevel="3">
      <c r="B482" s="121"/>
      <c r="C482" s="122"/>
      <c r="D482" s="124">
        <v>4</v>
      </c>
      <c r="E482" s="200"/>
      <c r="F482" s="190"/>
      <c r="G482" s="191"/>
      <c r="H482" s="191"/>
      <c r="I482" s="125"/>
      <c r="J482" s="123"/>
      <c r="K482" s="137"/>
    </row>
    <row r="483" spans="2:11" ht="14.45" hidden="1" outlineLevel="3">
      <c r="B483" s="115"/>
      <c r="C483" s="114"/>
      <c r="D483" s="119">
        <v>1</v>
      </c>
      <c r="E483" s="201" t="s">
        <v>167</v>
      </c>
      <c r="F483" s="192"/>
      <c r="G483" s="193" t="s">
        <v>100</v>
      </c>
      <c r="H483" s="193" t="s">
        <v>100</v>
      </c>
      <c r="I483" s="113"/>
      <c r="J483" s="116"/>
    </row>
    <row r="484" spans="2:11" ht="15" hidden="1" customHeight="1" outlineLevel="3">
      <c r="B484" s="115"/>
      <c r="C484" s="114"/>
      <c r="D484" s="119">
        <v>2</v>
      </c>
      <c r="E484" s="202" t="s">
        <v>167</v>
      </c>
      <c r="F484" s="194" t="s">
        <v>153</v>
      </c>
      <c r="G484" s="195"/>
      <c r="H484" s="195"/>
      <c r="I484" s="113"/>
      <c r="J484" s="116"/>
      <c r="K484" s="134"/>
    </row>
    <row r="485" spans="2:11" ht="15" hidden="1" customHeight="1" outlineLevel="3">
      <c r="B485" s="115"/>
      <c r="C485" s="114"/>
      <c r="D485" s="119">
        <v>3</v>
      </c>
      <c r="E485" s="223" t="s">
        <v>167</v>
      </c>
      <c r="F485" s="221" t="s">
        <v>154</v>
      </c>
      <c r="G485" s="222"/>
      <c r="H485" s="242" t="s">
        <v>155</v>
      </c>
      <c r="I485" s="120"/>
      <c r="J485" s="116"/>
      <c r="K485" s="134"/>
    </row>
    <row r="486" spans="2:11" s="138" customFormat="1" ht="5.0999999999999996" hidden="1" customHeight="1" outlineLevel="3">
      <c r="B486" s="121"/>
      <c r="C486" s="122"/>
      <c r="D486" s="124">
        <v>4</v>
      </c>
      <c r="E486" s="200"/>
      <c r="F486" s="190"/>
      <c r="G486" s="191"/>
      <c r="H486" s="191"/>
      <c r="I486" s="125"/>
      <c r="J486" s="123"/>
      <c r="K486" s="137"/>
    </row>
    <row r="487" spans="2:11" ht="14.45" hidden="1" outlineLevel="3">
      <c r="B487" s="115"/>
      <c r="C487" s="114"/>
      <c r="D487" s="119">
        <v>1</v>
      </c>
      <c r="E487" s="198" t="s">
        <v>168</v>
      </c>
      <c r="F487" s="186"/>
      <c r="G487" s="187" t="s">
        <v>100</v>
      </c>
      <c r="H487" s="187" t="s">
        <v>100</v>
      </c>
      <c r="I487" s="113"/>
      <c r="J487" s="116"/>
    </row>
    <row r="488" spans="2:11" ht="15" hidden="1" customHeight="1" outlineLevel="3">
      <c r="B488" s="115"/>
      <c r="C488" s="114"/>
      <c r="D488" s="119">
        <v>2</v>
      </c>
      <c r="E488" s="199" t="s">
        <v>168</v>
      </c>
      <c r="F488" s="188" t="s">
        <v>153</v>
      </c>
      <c r="G488" s="189"/>
      <c r="H488" s="189"/>
      <c r="I488" s="113"/>
      <c r="J488" s="116"/>
      <c r="K488" s="134"/>
    </row>
    <row r="489" spans="2:11" ht="15" hidden="1" customHeight="1" outlineLevel="3">
      <c r="B489" s="115"/>
      <c r="C489" s="114"/>
      <c r="D489" s="119">
        <v>3</v>
      </c>
      <c r="E489" s="203" t="s">
        <v>168</v>
      </c>
      <c r="F489" s="196" t="s">
        <v>154</v>
      </c>
      <c r="G489" s="186"/>
      <c r="H489" s="187" t="s">
        <v>155</v>
      </c>
      <c r="I489" s="120"/>
      <c r="J489" s="116"/>
      <c r="K489" s="134"/>
    </row>
    <row r="490" spans="2:11" s="138" customFormat="1" ht="5.0999999999999996" hidden="1" customHeight="1" outlineLevel="3">
      <c r="B490" s="121"/>
      <c r="C490" s="122"/>
      <c r="D490" s="124">
        <v>4</v>
      </c>
      <c r="E490" s="200"/>
      <c r="F490" s="190"/>
      <c r="G490" s="191"/>
      <c r="H490" s="191"/>
      <c r="I490" s="125"/>
      <c r="J490" s="123"/>
      <c r="K490" s="137"/>
    </row>
    <row r="491" spans="2:11" ht="14.45" hidden="1" outlineLevel="3">
      <c r="B491" s="115"/>
      <c r="C491" s="114"/>
      <c r="D491" s="119">
        <v>1</v>
      </c>
      <c r="E491" s="201" t="s">
        <v>169</v>
      </c>
      <c r="F491" s="192"/>
      <c r="G491" s="193" t="s">
        <v>100</v>
      </c>
      <c r="H491" s="193" t="s">
        <v>100</v>
      </c>
      <c r="I491" s="113"/>
      <c r="J491" s="116"/>
    </row>
    <row r="492" spans="2:11" ht="15" hidden="1" customHeight="1" outlineLevel="3">
      <c r="B492" s="115"/>
      <c r="C492" s="114"/>
      <c r="D492" s="119">
        <v>2</v>
      </c>
      <c r="E492" s="202" t="s">
        <v>169</v>
      </c>
      <c r="F492" s="194" t="s">
        <v>153</v>
      </c>
      <c r="G492" s="195"/>
      <c r="H492" s="195"/>
      <c r="I492" s="113"/>
      <c r="J492" s="116"/>
      <c r="K492" s="134"/>
    </row>
    <row r="493" spans="2:11" ht="15" hidden="1" customHeight="1" outlineLevel="3">
      <c r="B493" s="115"/>
      <c r="C493" s="114"/>
      <c r="D493" s="119">
        <v>3</v>
      </c>
      <c r="E493" s="223" t="s">
        <v>169</v>
      </c>
      <c r="F493" s="221" t="s">
        <v>154</v>
      </c>
      <c r="G493" s="222"/>
      <c r="H493" s="242" t="s">
        <v>155</v>
      </c>
      <c r="I493" s="120"/>
      <c r="J493" s="116"/>
      <c r="K493" s="134"/>
    </row>
    <row r="494" spans="2:11" s="138" customFormat="1" ht="5.0999999999999996" hidden="1" customHeight="1" outlineLevel="3">
      <c r="B494" s="121"/>
      <c r="C494" s="122"/>
      <c r="D494" s="124">
        <v>4</v>
      </c>
      <c r="E494" s="200"/>
      <c r="F494" s="190"/>
      <c r="G494" s="191"/>
      <c r="H494" s="191"/>
      <c r="I494" s="125"/>
      <c r="J494" s="123"/>
      <c r="K494" s="137"/>
    </row>
    <row r="495" spans="2:11" ht="14.45" hidden="1" outlineLevel="3">
      <c r="B495" s="115"/>
      <c r="C495" s="114"/>
      <c r="D495" s="119">
        <v>1</v>
      </c>
      <c r="E495" s="198" t="s">
        <v>170</v>
      </c>
      <c r="F495" s="186"/>
      <c r="G495" s="187" t="s">
        <v>100</v>
      </c>
      <c r="H495" s="187" t="s">
        <v>100</v>
      </c>
      <c r="I495" s="113"/>
      <c r="J495" s="116"/>
    </row>
    <row r="496" spans="2:11" ht="15" hidden="1" customHeight="1" outlineLevel="3">
      <c r="B496" s="115"/>
      <c r="C496" s="114"/>
      <c r="D496" s="119">
        <v>2</v>
      </c>
      <c r="E496" s="199" t="s">
        <v>170</v>
      </c>
      <c r="F496" s="188" t="s">
        <v>153</v>
      </c>
      <c r="G496" s="189"/>
      <c r="H496" s="189"/>
      <c r="I496" s="113"/>
      <c r="J496" s="116"/>
      <c r="K496" s="134"/>
    </row>
    <row r="497" spans="2:11" ht="15" hidden="1" customHeight="1" outlineLevel="3">
      <c r="B497" s="115"/>
      <c r="C497" s="114"/>
      <c r="D497" s="119">
        <v>3</v>
      </c>
      <c r="E497" s="203" t="s">
        <v>170</v>
      </c>
      <c r="F497" s="196" t="s">
        <v>154</v>
      </c>
      <c r="G497" s="186"/>
      <c r="H497" s="187" t="s">
        <v>155</v>
      </c>
      <c r="I497" s="120"/>
      <c r="J497" s="116"/>
      <c r="K497" s="134"/>
    </row>
    <row r="498" spans="2:11" s="138" customFormat="1" ht="5.0999999999999996" hidden="1" customHeight="1" outlineLevel="3">
      <c r="B498" s="121"/>
      <c r="C498" s="122"/>
      <c r="D498" s="124">
        <v>4</v>
      </c>
      <c r="E498" s="200"/>
      <c r="F498" s="190"/>
      <c r="G498" s="191"/>
      <c r="H498" s="191"/>
      <c r="I498" s="125"/>
      <c r="J498" s="123"/>
      <c r="K498" s="137"/>
    </row>
    <row r="499" spans="2:11" ht="14.45" hidden="1" outlineLevel="3">
      <c r="B499" s="115"/>
      <c r="C499" s="114"/>
      <c r="D499" s="119">
        <v>1</v>
      </c>
      <c r="E499" s="201" t="s">
        <v>171</v>
      </c>
      <c r="F499" s="192"/>
      <c r="G499" s="193" t="s">
        <v>100</v>
      </c>
      <c r="H499" s="193" t="s">
        <v>100</v>
      </c>
      <c r="I499" s="113"/>
      <c r="J499" s="116"/>
    </row>
    <row r="500" spans="2:11" ht="15" hidden="1" customHeight="1" outlineLevel="3">
      <c r="B500" s="115"/>
      <c r="C500" s="114"/>
      <c r="D500" s="119">
        <v>2</v>
      </c>
      <c r="E500" s="202" t="s">
        <v>171</v>
      </c>
      <c r="F500" s="194" t="s">
        <v>153</v>
      </c>
      <c r="G500" s="195"/>
      <c r="H500" s="195"/>
      <c r="I500" s="113"/>
      <c r="J500" s="116"/>
      <c r="K500" s="134"/>
    </row>
    <row r="501" spans="2:11" ht="15" hidden="1" customHeight="1" outlineLevel="3">
      <c r="B501" s="115"/>
      <c r="C501" s="114"/>
      <c r="D501" s="119">
        <v>3</v>
      </c>
      <c r="E501" s="223" t="s">
        <v>171</v>
      </c>
      <c r="F501" s="221" t="s">
        <v>154</v>
      </c>
      <c r="G501" s="222"/>
      <c r="H501" s="242" t="s">
        <v>155</v>
      </c>
      <c r="I501" s="120"/>
      <c r="J501" s="116"/>
      <c r="K501" s="134"/>
    </row>
    <row r="502" spans="2:11" s="138" customFormat="1" ht="5.0999999999999996" hidden="1" customHeight="1" outlineLevel="3">
      <c r="B502" s="121"/>
      <c r="C502" s="122"/>
      <c r="D502" s="124">
        <v>4</v>
      </c>
      <c r="E502" s="200"/>
      <c r="F502" s="190"/>
      <c r="G502" s="191"/>
      <c r="H502" s="191"/>
      <c r="I502" s="125"/>
      <c r="J502" s="123"/>
      <c r="K502" s="137"/>
    </row>
    <row r="503" spans="2:11" ht="14.45" hidden="1" outlineLevel="3">
      <c r="B503" s="115"/>
      <c r="C503" s="114"/>
      <c r="D503" s="119">
        <v>1</v>
      </c>
      <c r="E503" s="198" t="s">
        <v>172</v>
      </c>
      <c r="F503" s="186"/>
      <c r="G503" s="187" t="s">
        <v>100</v>
      </c>
      <c r="H503" s="187" t="s">
        <v>100</v>
      </c>
      <c r="I503" s="113"/>
      <c r="J503" s="116"/>
    </row>
    <row r="504" spans="2:11" ht="15" hidden="1" customHeight="1" outlineLevel="3">
      <c r="B504" s="115"/>
      <c r="C504" s="114"/>
      <c r="D504" s="119">
        <v>2</v>
      </c>
      <c r="E504" s="199" t="s">
        <v>172</v>
      </c>
      <c r="F504" s="188" t="s">
        <v>153</v>
      </c>
      <c r="G504" s="189"/>
      <c r="H504" s="189"/>
      <c r="I504" s="113"/>
      <c r="J504" s="116"/>
      <c r="K504" s="134"/>
    </row>
    <row r="505" spans="2:11" ht="15" hidden="1" customHeight="1" outlineLevel="3">
      <c r="B505" s="115"/>
      <c r="C505" s="114"/>
      <c r="D505" s="119">
        <v>3</v>
      </c>
      <c r="E505" s="203" t="s">
        <v>172</v>
      </c>
      <c r="F505" s="196" t="s">
        <v>154</v>
      </c>
      <c r="G505" s="186"/>
      <c r="H505" s="187" t="s">
        <v>155</v>
      </c>
      <c r="I505" s="120"/>
      <c r="J505" s="116"/>
      <c r="K505" s="134"/>
    </row>
    <row r="506" spans="2:11" s="138" customFormat="1" ht="5.0999999999999996" hidden="1" customHeight="1" outlineLevel="3">
      <c r="B506" s="121"/>
      <c r="C506" s="122"/>
      <c r="D506" s="124">
        <v>4</v>
      </c>
      <c r="E506" s="200"/>
      <c r="F506" s="190"/>
      <c r="G506" s="191"/>
      <c r="H506" s="191"/>
      <c r="I506" s="125"/>
      <c r="J506" s="123"/>
      <c r="K506" s="137"/>
    </row>
    <row r="507" spans="2:11" ht="14.45" hidden="1" outlineLevel="3">
      <c r="B507" s="115"/>
      <c r="C507" s="114"/>
      <c r="D507" s="119">
        <v>1</v>
      </c>
      <c r="E507" s="201" t="s">
        <v>173</v>
      </c>
      <c r="F507" s="192"/>
      <c r="G507" s="193" t="s">
        <v>100</v>
      </c>
      <c r="H507" s="193" t="s">
        <v>100</v>
      </c>
      <c r="I507" s="113"/>
      <c r="J507" s="116"/>
    </row>
    <row r="508" spans="2:11" ht="15" hidden="1" customHeight="1" outlineLevel="3">
      <c r="B508" s="115"/>
      <c r="C508" s="114"/>
      <c r="D508" s="119">
        <v>2</v>
      </c>
      <c r="E508" s="202" t="s">
        <v>173</v>
      </c>
      <c r="F508" s="194" t="s">
        <v>153</v>
      </c>
      <c r="G508" s="195"/>
      <c r="H508" s="195"/>
      <c r="I508" s="113"/>
      <c r="J508" s="116"/>
      <c r="K508" s="134"/>
    </row>
    <row r="509" spans="2:11" ht="15" hidden="1" customHeight="1" outlineLevel="3">
      <c r="B509" s="115"/>
      <c r="C509" s="114"/>
      <c r="D509" s="119">
        <v>3</v>
      </c>
      <c r="E509" s="223" t="s">
        <v>173</v>
      </c>
      <c r="F509" s="221" t="s">
        <v>154</v>
      </c>
      <c r="G509" s="222"/>
      <c r="H509" s="242" t="s">
        <v>155</v>
      </c>
      <c r="I509" s="120"/>
      <c r="J509" s="116"/>
      <c r="K509" s="134"/>
    </row>
    <row r="510" spans="2:11" s="138" customFormat="1" ht="5.0999999999999996" hidden="1" customHeight="1" outlineLevel="3">
      <c r="B510" s="121"/>
      <c r="C510" s="122"/>
      <c r="D510" s="124">
        <v>4</v>
      </c>
      <c r="E510" s="200"/>
      <c r="F510" s="190"/>
      <c r="G510" s="191"/>
      <c r="H510" s="191"/>
      <c r="I510" s="125"/>
      <c r="J510" s="123"/>
      <c r="K510" s="137"/>
    </row>
    <row r="511" spans="2:11" ht="14.45" hidden="1" outlineLevel="3">
      <c r="B511" s="115"/>
      <c r="C511" s="114"/>
      <c r="D511" s="119">
        <v>1</v>
      </c>
      <c r="E511" s="198" t="s">
        <v>174</v>
      </c>
      <c r="F511" s="186"/>
      <c r="G511" s="187" t="s">
        <v>100</v>
      </c>
      <c r="H511" s="187" t="s">
        <v>100</v>
      </c>
      <c r="I511" s="113"/>
      <c r="J511" s="116"/>
    </row>
    <row r="512" spans="2:11" ht="15" hidden="1" customHeight="1" outlineLevel="3">
      <c r="B512" s="115"/>
      <c r="C512" s="114"/>
      <c r="D512" s="119">
        <v>2</v>
      </c>
      <c r="E512" s="199" t="s">
        <v>174</v>
      </c>
      <c r="F512" s="188" t="s">
        <v>153</v>
      </c>
      <c r="G512" s="189"/>
      <c r="H512" s="189"/>
      <c r="I512" s="113"/>
      <c r="J512" s="116"/>
      <c r="K512" s="134"/>
    </row>
    <row r="513" spans="2:26" ht="15" hidden="1" customHeight="1" outlineLevel="3">
      <c r="B513" s="115"/>
      <c r="C513" s="114"/>
      <c r="D513" s="119">
        <v>3</v>
      </c>
      <c r="E513" s="203" t="s">
        <v>174</v>
      </c>
      <c r="F513" s="196" t="s">
        <v>154</v>
      </c>
      <c r="G513" s="186"/>
      <c r="H513" s="187" t="s">
        <v>155</v>
      </c>
      <c r="I513" s="120"/>
      <c r="J513" s="116"/>
      <c r="K513" s="134"/>
    </row>
    <row r="514" spans="2:26" s="138" customFormat="1" ht="5.0999999999999996" hidden="1" customHeight="1" outlineLevel="3">
      <c r="B514" s="121"/>
      <c r="C514" s="122"/>
      <c r="D514" s="124">
        <v>4</v>
      </c>
      <c r="E514" s="200"/>
      <c r="F514" s="190"/>
      <c r="G514" s="191"/>
      <c r="H514" s="191"/>
      <c r="I514" s="125"/>
      <c r="J514" s="123"/>
      <c r="K514" s="137"/>
    </row>
    <row r="515" spans="2:26" ht="14.45" hidden="1" outlineLevel="3">
      <c r="B515" s="115"/>
      <c r="C515" s="114"/>
      <c r="D515" s="119">
        <v>1</v>
      </c>
      <c r="E515" s="201" t="s">
        <v>175</v>
      </c>
      <c r="F515" s="192"/>
      <c r="G515" s="193" t="s">
        <v>100</v>
      </c>
      <c r="H515" s="193" t="s">
        <v>100</v>
      </c>
      <c r="I515" s="113"/>
      <c r="J515" s="116"/>
    </row>
    <row r="516" spans="2:26" ht="15" hidden="1" customHeight="1" outlineLevel="3">
      <c r="B516" s="115"/>
      <c r="C516" s="114"/>
      <c r="D516" s="119">
        <v>2</v>
      </c>
      <c r="E516" s="202" t="s">
        <v>175</v>
      </c>
      <c r="F516" s="194" t="s">
        <v>153</v>
      </c>
      <c r="G516" s="195"/>
      <c r="H516" s="195"/>
      <c r="I516" s="113"/>
      <c r="J516" s="116"/>
      <c r="K516" s="134"/>
    </row>
    <row r="517" spans="2:26" ht="15" hidden="1" customHeight="1" outlineLevel="3">
      <c r="B517" s="115"/>
      <c r="C517" s="114"/>
      <c r="D517" s="119">
        <v>3</v>
      </c>
      <c r="E517" s="223" t="s">
        <v>175</v>
      </c>
      <c r="F517" s="221" t="s">
        <v>154</v>
      </c>
      <c r="G517" s="222"/>
      <c r="H517" s="242" t="s">
        <v>155</v>
      </c>
      <c r="I517" s="120"/>
      <c r="J517" s="116"/>
      <c r="K517" s="134"/>
    </row>
    <row r="518" spans="2:26" s="138" customFormat="1" ht="5.0999999999999996" hidden="1" customHeight="1" outlineLevel="3">
      <c r="B518" s="121"/>
      <c r="C518" s="122"/>
      <c r="D518" s="124">
        <v>4</v>
      </c>
      <c r="E518" s="166"/>
      <c r="F518" s="167"/>
      <c r="G518" s="191"/>
      <c r="H518" s="191"/>
      <c r="I518" s="125"/>
      <c r="J518" s="123"/>
      <c r="K518" s="137"/>
    </row>
    <row r="519" spans="2:26" ht="14.45" hidden="1" outlineLevel="2">
      <c r="B519" s="115"/>
      <c r="C519" s="114"/>
      <c r="D519" s="114"/>
      <c r="E519" s="114"/>
      <c r="F519" s="9"/>
      <c r="G519" s="9"/>
      <c r="H519" s="9"/>
      <c r="I519" s="9"/>
      <c r="J519" s="116"/>
    </row>
    <row r="520" spans="2:26" ht="14.45" hidden="1" outlineLevel="2">
      <c r="B520" s="115"/>
      <c r="C520" s="114"/>
      <c r="D520" s="114"/>
      <c r="E520" s="114"/>
      <c r="F520" s="46" t="s">
        <v>176</v>
      </c>
      <c r="G520" s="480">
        <v>62017712</v>
      </c>
      <c r="H520" s="480"/>
      <c r="I520" s="84"/>
      <c r="J520" s="116"/>
    </row>
    <row r="521" spans="2:26" ht="15" hidden="1" customHeight="1" outlineLevel="2">
      <c r="B521" s="115"/>
      <c r="C521" s="114"/>
      <c r="D521" s="114"/>
      <c r="E521" s="114"/>
      <c r="F521" s="81" t="s">
        <v>177</v>
      </c>
      <c r="G521" s="540" t="s">
        <v>178</v>
      </c>
      <c r="H521" s="552"/>
      <c r="I521" s="112"/>
      <c r="J521" s="116"/>
      <c r="L521" s="557" t="s">
        <v>179</v>
      </c>
      <c r="M521" s="558"/>
      <c r="N521" s="558"/>
      <c r="O521" s="558"/>
      <c r="P521" s="558"/>
      <c r="Q521" s="558"/>
      <c r="R521" s="558"/>
      <c r="S521" s="558"/>
      <c r="T521" s="558"/>
      <c r="U521" s="558"/>
      <c r="V521" s="558"/>
      <c r="W521" s="558"/>
      <c r="X521" s="558"/>
      <c r="Y521" s="558"/>
      <c r="Z521" s="700"/>
    </row>
    <row r="522" spans="2:26" ht="15" hidden="1" customHeight="1" outlineLevel="2">
      <c r="B522" s="115"/>
      <c r="C522" s="114"/>
      <c r="D522" s="114"/>
      <c r="E522" s="114"/>
      <c r="F522" s="81" t="s">
        <v>255</v>
      </c>
      <c r="G522" s="476" t="s">
        <v>256</v>
      </c>
      <c r="H522" s="508"/>
      <c r="I522" s="50"/>
      <c r="J522" s="116"/>
      <c r="K522" s="139" t="s">
        <v>182</v>
      </c>
      <c r="L522" s="558"/>
      <c r="M522" s="558"/>
      <c r="N522" s="558"/>
      <c r="O522" s="558"/>
      <c r="P522" s="558"/>
      <c r="Q522" s="558"/>
      <c r="R522" s="558"/>
      <c r="S522" s="558"/>
      <c r="T522" s="558"/>
      <c r="U522" s="558"/>
      <c r="V522" s="558"/>
      <c r="W522" s="558"/>
      <c r="X522" s="558"/>
      <c r="Y522" s="558"/>
      <c r="Z522" s="700"/>
    </row>
    <row r="523" spans="2:26" ht="15" hidden="1" customHeight="1" outlineLevel="2">
      <c r="B523" s="115"/>
      <c r="C523" s="114"/>
      <c r="D523" s="114"/>
      <c r="E523" s="114"/>
      <c r="F523" s="81" t="s">
        <v>183</v>
      </c>
      <c r="G523" s="476" t="s">
        <v>97</v>
      </c>
      <c r="H523" s="508"/>
      <c r="I523" s="50"/>
      <c r="J523" s="116"/>
      <c r="L523" s="558"/>
      <c r="M523" s="558"/>
      <c r="N523" s="558"/>
      <c r="O523" s="558"/>
      <c r="P523" s="558"/>
      <c r="Q523" s="558"/>
      <c r="R523" s="558"/>
      <c r="S523" s="558"/>
      <c r="T523" s="558"/>
      <c r="U523" s="558"/>
      <c r="V523" s="558"/>
      <c r="W523" s="558"/>
      <c r="X523" s="558"/>
      <c r="Y523" s="558"/>
      <c r="Z523" s="700"/>
    </row>
    <row r="524" spans="2:26" ht="7.5" hidden="1" customHeight="1" outlineLevel="2">
      <c r="B524" s="115"/>
      <c r="C524" s="114"/>
      <c r="D524" s="114"/>
      <c r="E524" s="114"/>
      <c r="F524" s="9"/>
      <c r="G524" s="9"/>
      <c r="H524"/>
      <c r="I524" s="50"/>
      <c r="J524" s="116"/>
    </row>
    <row r="525" spans="2:26" ht="15" hidden="1" customHeight="1" outlineLevel="2">
      <c r="B525" s="23"/>
      <c r="C525" s="9"/>
      <c r="D525" s="146"/>
      <c r="E525" s="146"/>
      <c r="F525" s="325" t="str">
        <f>IF(G523="&lt; enter time taken &gt;","",G523&amp;" minutes must be entered on the KPI sheet as a")</f>
        <v/>
      </c>
      <c r="G525" s="476" t="str">
        <f>IF(G523="&lt; enter time taken &gt;","","SUMMARY &amp; REPLY - SENT MOS activity.")</f>
        <v/>
      </c>
      <c r="H525" s="529"/>
      <c r="I525" s="50"/>
      <c r="J525" s="26"/>
      <c r="K525" s="127"/>
    </row>
    <row r="526" spans="2:26" ht="14.45" hidden="1" outlineLevel="2">
      <c r="B526" s="115"/>
      <c r="C526" s="114"/>
      <c r="D526" s="114"/>
      <c r="E526" s="114"/>
      <c r="F526" s="9"/>
      <c r="G526" s="9"/>
      <c r="H526"/>
      <c r="I526"/>
      <c r="J526" s="116"/>
    </row>
    <row r="527" spans="2:26" ht="15" hidden="1" customHeight="1" outlineLevel="2">
      <c r="B527" s="115"/>
      <c r="C527" s="114"/>
      <c r="D527" s="114"/>
      <c r="E527" s="114"/>
      <c r="F527" s="81" t="s">
        <v>257</v>
      </c>
      <c r="G527" s="540" t="s">
        <v>185</v>
      </c>
      <c r="H527" s="552"/>
      <c r="I527" s="112"/>
      <c r="J527" s="116"/>
      <c r="L527" s="557" t="s">
        <v>179</v>
      </c>
      <c r="M527" s="558"/>
      <c r="N527" s="558"/>
      <c r="O527" s="558"/>
      <c r="P527" s="558"/>
      <c r="Q527" s="558"/>
      <c r="R527" s="558"/>
      <c r="S527" s="558"/>
      <c r="T527" s="558"/>
      <c r="U527" s="558"/>
      <c r="V527" s="558"/>
      <c r="W527" s="558"/>
      <c r="X527" s="558"/>
      <c r="Y527" s="558"/>
      <c r="Z527" s="700"/>
    </row>
    <row r="528" spans="2:26" ht="15" hidden="1" customHeight="1" outlineLevel="2">
      <c r="B528" s="115"/>
      <c r="C528" s="114"/>
      <c r="D528" s="114"/>
      <c r="E528" s="114"/>
      <c r="F528" s="81" t="s">
        <v>255</v>
      </c>
      <c r="G528" s="476" t="s">
        <v>256</v>
      </c>
      <c r="H528" s="508"/>
      <c r="I528" s="50"/>
      <c r="J528" s="116"/>
      <c r="K528" s="139" t="s">
        <v>182</v>
      </c>
      <c r="L528" s="558"/>
      <c r="M528" s="558"/>
      <c r="N528" s="558"/>
      <c r="O528" s="558"/>
      <c r="P528" s="558"/>
      <c r="Q528" s="558"/>
      <c r="R528" s="558"/>
      <c r="S528" s="558"/>
      <c r="T528" s="558"/>
      <c r="U528" s="558"/>
      <c r="V528" s="558"/>
      <c r="W528" s="558"/>
      <c r="X528" s="558"/>
      <c r="Y528" s="558"/>
      <c r="Z528" s="700"/>
    </row>
    <row r="529" spans="2:26" ht="15" hidden="1" customHeight="1" outlineLevel="2">
      <c r="B529" s="115"/>
      <c r="C529" s="114"/>
      <c r="D529" s="114"/>
      <c r="E529" s="114"/>
      <c r="F529" s="81" t="s">
        <v>186</v>
      </c>
      <c r="G529" s="476" t="s">
        <v>97</v>
      </c>
      <c r="H529" s="508"/>
      <c r="I529" s="50"/>
      <c r="J529" s="116"/>
      <c r="L529" s="558"/>
      <c r="M529" s="558"/>
      <c r="N529" s="558"/>
      <c r="O529" s="558"/>
      <c r="P529" s="558"/>
      <c r="Q529" s="558"/>
      <c r="R529" s="558"/>
      <c r="S529" s="558"/>
      <c r="T529" s="558"/>
      <c r="U529" s="558"/>
      <c r="V529" s="558"/>
      <c r="W529" s="558"/>
      <c r="X529" s="558"/>
      <c r="Y529" s="558"/>
      <c r="Z529" s="700"/>
    </row>
    <row r="530" spans="2:26" ht="7.5" hidden="1" customHeight="1" outlineLevel="2">
      <c r="B530" s="115"/>
      <c r="C530" s="114"/>
      <c r="D530" s="114"/>
      <c r="E530" s="114"/>
      <c r="F530" s="9"/>
      <c r="G530" s="9"/>
      <c r="H530"/>
      <c r="I530" s="50"/>
      <c r="J530" s="116"/>
    </row>
    <row r="531" spans="2:26" ht="15" hidden="1" customHeight="1" outlineLevel="2">
      <c r="B531" s="23"/>
      <c r="C531" s="9"/>
      <c r="D531" s="146"/>
      <c r="E531" s="146"/>
      <c r="F531" s="325" t="str">
        <f>IF(G529="&lt; enter time taken &gt;","",G529&amp;" minutes must be entered on the KPI sheet as a")</f>
        <v/>
      </c>
      <c r="G531" s="476" t="str">
        <f>IF(G529="&lt; enter time taken &gt;","","SUMMARY &amp; REPLY - RECEIVED activity.")</f>
        <v/>
      </c>
      <c r="H531" s="529"/>
      <c r="I531" s="50"/>
      <c r="J531" s="26"/>
      <c r="K531" s="127"/>
    </row>
    <row r="532" spans="2:26" ht="14.45" hidden="1" outlineLevel="2">
      <c r="B532" s="115"/>
      <c r="C532" s="114"/>
      <c r="D532" s="114"/>
      <c r="E532" s="114"/>
      <c r="F532" s="9"/>
      <c r="G532" s="9"/>
      <c r="H532" s="9"/>
      <c r="I532" s="9"/>
      <c r="J532" s="116"/>
    </row>
    <row r="533" spans="2:26" s="45" customFormat="1" ht="15.75" hidden="1" customHeight="1" outlineLevel="2">
      <c r="B533" s="115"/>
      <c r="C533" s="114"/>
      <c r="D533" s="114"/>
      <c r="E533" s="114"/>
      <c r="F533" s="81" t="s">
        <v>203</v>
      </c>
      <c r="G533" s="492" t="s">
        <v>135</v>
      </c>
      <c r="H533" s="534"/>
      <c r="I533" s="132"/>
      <c r="J533" s="116"/>
    </row>
    <row r="534" spans="2:26" s="45" customFormat="1" ht="15.75" hidden="1" customHeight="1" outlineLevel="2">
      <c r="B534" s="115"/>
      <c r="C534" s="114"/>
      <c r="D534" s="114"/>
      <c r="E534" s="114"/>
      <c r="F534" s="81"/>
      <c r="G534" s="82"/>
      <c r="H534" s="83"/>
      <c r="I534" s="83"/>
      <c r="J534" s="116"/>
    </row>
    <row r="535" spans="2:26" s="45" customFormat="1" ht="16.5" hidden="1" customHeight="1" outlineLevel="2">
      <c r="B535" s="28"/>
      <c r="C535" s="30"/>
      <c r="D535" s="30"/>
      <c r="E535" s="30"/>
      <c r="F535" s="32"/>
      <c r="G535" s="117"/>
      <c r="H535" s="117"/>
      <c r="I535" s="117"/>
      <c r="J535" s="31"/>
    </row>
    <row r="536" spans="2:26" ht="15" hidden="1" customHeight="1" outlineLevel="1" collapsed="1">
      <c r="B536" s="537" t="s">
        <v>258</v>
      </c>
      <c r="C536" s="702"/>
      <c r="D536" s="702"/>
      <c r="E536" s="702"/>
      <c r="F536" s="702"/>
      <c r="G536" s="702"/>
      <c r="H536" s="702"/>
      <c r="I536" s="702"/>
      <c r="J536" s="704"/>
    </row>
    <row r="537" spans="2:26" s="45" customFormat="1" ht="13.5" hidden="1" customHeight="1" outlineLevel="2">
      <c r="B537" s="115"/>
      <c r="C537" s="114"/>
      <c r="D537" s="114"/>
      <c r="E537" s="114"/>
      <c r="F537" s="81"/>
      <c r="G537" s="131"/>
      <c r="H537" s="131"/>
      <c r="I537" s="50"/>
      <c r="J537" s="116"/>
    </row>
    <row r="538" spans="2:26" s="45" customFormat="1" ht="14.45" hidden="1" outlineLevel="2">
      <c r="B538" s="115"/>
      <c r="C538" s="114"/>
      <c r="D538" s="50"/>
      <c r="E538" s="50"/>
      <c r="F538" s="50"/>
      <c r="G538" s="50"/>
      <c r="H538" s="50"/>
      <c r="I538" s="50"/>
      <c r="J538" s="116"/>
    </row>
    <row r="539" spans="2:26" ht="14.45" hidden="1" outlineLevel="2">
      <c r="B539" s="115"/>
      <c r="C539" s="114"/>
      <c r="D539" s="9"/>
      <c r="E539" s="545" t="s">
        <v>220</v>
      </c>
      <c r="F539" s="715"/>
      <c r="G539" s="9"/>
      <c r="H539" s="9"/>
      <c r="I539" s="50"/>
      <c r="J539" s="116"/>
    </row>
    <row r="540" spans="2:26" ht="15" hidden="1" customHeight="1" outlineLevel="2">
      <c r="B540" s="115"/>
      <c r="C540" s="114"/>
      <c r="D540" s="9"/>
      <c r="E540" s="173" t="s">
        <v>59</v>
      </c>
      <c r="F540" s="174" t="s">
        <v>221</v>
      </c>
      <c r="G540" s="175"/>
      <c r="H540" s="175"/>
      <c r="I540" s="50"/>
      <c r="J540" s="116"/>
    </row>
    <row r="541" spans="2:26" ht="14.45" hidden="1" outlineLevel="2">
      <c r="B541" s="115"/>
      <c r="C541" s="114"/>
      <c r="D541" s="175"/>
      <c r="E541" s="173" t="s">
        <v>59</v>
      </c>
      <c r="F541" s="174" t="s">
        <v>221</v>
      </c>
      <c r="G541" s="175"/>
      <c r="H541" s="175"/>
      <c r="I541" s="50"/>
      <c r="J541" s="116"/>
    </row>
    <row r="542" spans="2:26" ht="14.45" hidden="1" outlineLevel="2">
      <c r="B542" s="115"/>
      <c r="C542" s="114"/>
      <c r="D542" s="175"/>
      <c r="E542" s="173" t="s">
        <v>59</v>
      </c>
      <c r="F542" s="174" t="s">
        <v>221</v>
      </c>
      <c r="G542" s="175"/>
      <c r="H542" s="175"/>
      <c r="I542" s="50"/>
      <c r="J542" s="116"/>
    </row>
    <row r="543" spans="2:26" ht="14.45" hidden="1" outlineLevel="2">
      <c r="B543" s="115"/>
      <c r="C543" s="114"/>
      <c r="D543" s="114"/>
      <c r="E543" s="9"/>
      <c r="F543" s="9"/>
      <c r="G543" s="9"/>
      <c r="H543" s="9"/>
      <c r="I543" s="50"/>
      <c r="J543" s="116"/>
    </row>
    <row r="544" spans="2:26" ht="24" hidden="1" customHeight="1" outlineLevel="2">
      <c r="B544" s="115"/>
      <c r="C544" s="50"/>
      <c r="D544" s="9"/>
      <c r="E544" s="9"/>
      <c r="F544" s="78" t="s">
        <v>222</v>
      </c>
      <c r="G544" s="9"/>
      <c r="H544" s="9"/>
      <c r="I544" s="50"/>
      <c r="J544" s="116"/>
    </row>
    <row r="545" spans="2:25" ht="14.45" hidden="1" outlineLevel="2">
      <c r="B545" s="115"/>
      <c r="C545" s="50"/>
      <c r="D545" s="77"/>
      <c r="E545" s="176" t="str">
        <f>IF(F545&lt;&gt;"","4.1","")</f>
        <v/>
      </c>
      <c r="F545" s="79" t="str">
        <f t="shared" ref="F545:F552" si="1">IF($F$544="&lt; Make selection here &gt;","",IF($F$544="I reject the extension of the expired product/s for the reasons below:","&lt; enter reason/s for rejection &gt;",IF($F$544="I approve the extension of the expired product/s with the following new changes:","&lt; enter additional conditions &gt;",IF($F$544="I approve the extension of the expired product/s with no new changes",""))))</f>
        <v/>
      </c>
      <c r="G545" s="77"/>
      <c r="H545" s="77"/>
      <c r="I545" s="50"/>
      <c r="J545" s="116"/>
      <c r="K545" s="711"/>
      <c r="L545" s="711"/>
      <c r="M545" s="711"/>
      <c r="N545" s="711"/>
      <c r="O545" s="711"/>
      <c r="P545" s="711"/>
      <c r="Q545" s="711"/>
      <c r="R545" s="711"/>
    </row>
    <row r="546" spans="2:25" ht="14.45" hidden="1" outlineLevel="2">
      <c r="B546" s="115"/>
      <c r="C546" s="50"/>
      <c r="D546" s="77"/>
      <c r="E546" s="176" t="str">
        <f>IF(F546&lt;&gt;"","4.2","")</f>
        <v/>
      </c>
      <c r="F546" s="79" t="str">
        <f t="shared" si="1"/>
        <v/>
      </c>
      <c r="G546" s="77"/>
      <c r="H546" s="77"/>
      <c r="I546" s="50"/>
      <c r="J546" s="116"/>
      <c r="K546" s="711"/>
      <c r="L546" s="711"/>
      <c r="M546" s="711"/>
      <c r="N546" s="711"/>
      <c r="O546" s="711"/>
      <c r="P546" s="711"/>
      <c r="Q546" s="711"/>
      <c r="R546" s="711"/>
    </row>
    <row r="547" spans="2:25" ht="14.45" hidden="1" outlineLevel="2">
      <c r="B547" s="115"/>
      <c r="C547" s="50"/>
      <c r="D547" s="77"/>
      <c r="E547" s="176" t="str">
        <f>IF(F547&lt;&gt;"","4.3","")</f>
        <v/>
      </c>
      <c r="F547" s="79" t="str">
        <f t="shared" si="1"/>
        <v/>
      </c>
      <c r="G547" s="77"/>
      <c r="H547" s="77"/>
      <c r="I547" s="50"/>
      <c r="J547" s="116"/>
      <c r="K547" s="711"/>
      <c r="L547" s="711"/>
      <c r="M547" s="711"/>
      <c r="N547" s="711"/>
      <c r="O547" s="711"/>
      <c r="P547" s="711"/>
      <c r="Q547" s="711"/>
      <c r="R547" s="711"/>
    </row>
    <row r="548" spans="2:25" ht="14.45" hidden="1" outlineLevel="2">
      <c r="B548" s="115"/>
      <c r="C548" s="50"/>
      <c r="D548" s="77"/>
      <c r="E548" s="176" t="str">
        <f>IF(F548&lt;&gt;"","4.4","")</f>
        <v/>
      </c>
      <c r="F548" s="79" t="str">
        <f t="shared" si="1"/>
        <v/>
      </c>
      <c r="G548" s="77"/>
      <c r="H548" s="77"/>
      <c r="I548" s="50"/>
      <c r="J548" s="116"/>
      <c r="K548" s="711"/>
      <c r="L548" s="711"/>
      <c r="M548" s="711"/>
      <c r="N548" s="711"/>
      <c r="O548" s="711"/>
      <c r="P548" s="711"/>
      <c r="Q548" s="711"/>
      <c r="R548" s="711"/>
    </row>
    <row r="549" spans="2:25" ht="14.45" hidden="1" outlineLevel="2">
      <c r="B549" s="115"/>
      <c r="C549" s="50"/>
      <c r="D549" s="77"/>
      <c r="E549" s="176" t="str">
        <f>IF(F549&lt;&gt;"","4.5","")</f>
        <v/>
      </c>
      <c r="F549" s="79" t="str">
        <f t="shared" si="1"/>
        <v/>
      </c>
      <c r="G549" s="77"/>
      <c r="H549" s="77"/>
      <c r="I549" s="50"/>
      <c r="J549" s="116"/>
      <c r="K549" s="711"/>
      <c r="L549" s="711"/>
      <c r="M549" s="711"/>
      <c r="N549" s="711"/>
      <c r="O549" s="711"/>
      <c r="P549" s="711"/>
      <c r="Q549" s="711"/>
      <c r="R549" s="711"/>
    </row>
    <row r="550" spans="2:25" ht="14.45" hidden="1" outlineLevel="2">
      <c r="B550" s="115"/>
      <c r="C550" s="50"/>
      <c r="D550" s="77"/>
      <c r="E550" s="176" t="str">
        <f>IF(F550&lt;&gt;"","4.6","")</f>
        <v/>
      </c>
      <c r="F550" s="79" t="str">
        <f t="shared" si="1"/>
        <v/>
      </c>
      <c r="G550" s="77"/>
      <c r="H550" s="77"/>
      <c r="I550" s="50"/>
      <c r="J550" s="116"/>
      <c r="K550" s="711"/>
      <c r="L550" s="711"/>
      <c r="M550" s="711"/>
      <c r="N550" s="711"/>
      <c r="O550" s="711"/>
      <c r="P550" s="711"/>
      <c r="Q550" s="711"/>
      <c r="R550" s="711"/>
    </row>
    <row r="551" spans="2:25" ht="14.45" hidden="1" outlineLevel="2">
      <c r="B551" s="115"/>
      <c r="C551" s="50"/>
      <c r="D551" s="77"/>
      <c r="E551" s="176" t="str">
        <f>IF(F551&lt;&gt;"","4.7","")</f>
        <v/>
      </c>
      <c r="F551" s="79" t="str">
        <f t="shared" si="1"/>
        <v/>
      </c>
      <c r="G551" s="77"/>
      <c r="H551" s="77"/>
      <c r="I551" s="50"/>
      <c r="J551" s="116"/>
      <c r="K551" s="564" t="s">
        <v>199</v>
      </c>
      <c r="L551" s="565"/>
      <c r="M551" s="565"/>
      <c r="N551" s="565"/>
      <c r="O551" s="565"/>
      <c r="P551" s="565"/>
      <c r="Q551" s="565"/>
      <c r="R551" s="565"/>
      <c r="S551" s="700"/>
      <c r="T551" s="700"/>
      <c r="U551" s="700"/>
    </row>
    <row r="552" spans="2:25" ht="14.45" hidden="1" outlineLevel="2">
      <c r="B552" s="115"/>
      <c r="C552" s="50"/>
      <c r="D552" s="77"/>
      <c r="E552" s="176" t="str">
        <f>IF(F552&lt;&gt;"","4.8","")</f>
        <v/>
      </c>
      <c r="F552" s="79" t="str">
        <f t="shared" si="1"/>
        <v/>
      </c>
      <c r="G552" s="77"/>
      <c r="H552" s="77"/>
      <c r="I552" s="50"/>
      <c r="J552" s="116"/>
      <c r="K552" s="566"/>
      <c r="L552" s="565"/>
      <c r="M552" s="565"/>
      <c r="N552" s="565"/>
      <c r="O552" s="565"/>
      <c r="P552" s="565"/>
      <c r="Q552" s="565"/>
      <c r="R552" s="565"/>
      <c r="S552" s="700"/>
      <c r="T552" s="700"/>
      <c r="U552" s="700"/>
    </row>
    <row r="553" spans="2:25" ht="14.45" hidden="1" outlineLevel="2">
      <c r="B553" s="115"/>
      <c r="C553" s="50"/>
      <c r="D553" s="9"/>
      <c r="E553"/>
      <c r="F553" s="9"/>
      <c r="G553" s="9"/>
      <c r="H553" s="9"/>
      <c r="I553" s="50"/>
      <c r="J553" s="116"/>
      <c r="K553" s="711"/>
      <c r="L553" s="711"/>
      <c r="M553" s="711"/>
      <c r="N553" s="711"/>
      <c r="O553" s="711"/>
      <c r="P553" s="711"/>
      <c r="Q553" s="711"/>
      <c r="R553" s="711"/>
    </row>
    <row r="554" spans="2:25" ht="14.45" hidden="1" outlineLevel="2">
      <c r="B554" s="115"/>
      <c r="C554" s="50"/>
      <c r="D554" s="9"/>
      <c r="E554"/>
      <c r="F554" s="80" t="s">
        <v>259</v>
      </c>
      <c r="G554" s="251" t="s">
        <v>93</v>
      </c>
      <c r="H554" s="9"/>
      <c r="I554" s="50"/>
      <c r="J554" s="116"/>
    </row>
    <row r="555" spans="2:25" ht="15" hidden="1" customHeight="1" outlineLevel="2">
      <c r="B555" s="115"/>
      <c r="C555" s="114"/>
      <c r="D555" s="114"/>
      <c r="E555"/>
      <c r="F555" s="81" t="s">
        <v>260</v>
      </c>
      <c r="G555" s="476" t="s">
        <v>97</v>
      </c>
      <c r="H555" s="508"/>
      <c r="I555" s="50"/>
      <c r="J555" s="116"/>
      <c r="L555" s="558"/>
      <c r="M555" s="558"/>
      <c r="N555" s="558"/>
      <c r="O555" s="558"/>
      <c r="P555" s="558"/>
      <c r="Q555" s="558"/>
      <c r="R555" s="558"/>
      <c r="S555" s="558"/>
      <c r="T555" s="558"/>
      <c r="U555" s="558"/>
      <c r="V555" s="558"/>
      <c r="W555" s="558"/>
      <c r="X555" s="558"/>
      <c r="Y555" s="558"/>
    </row>
    <row r="556" spans="2:25" ht="14.45" hidden="1" outlineLevel="2">
      <c r="B556" s="115"/>
      <c r="C556" s="114"/>
      <c r="D556" s="114"/>
      <c r="E556" s="114"/>
      <c r="F556" s="9"/>
      <c r="G556" s="9"/>
      <c r="H556" s="9"/>
      <c r="I556" s="50"/>
      <c r="J556" s="116"/>
    </row>
    <row r="557" spans="2:25" ht="15" hidden="1" customHeight="1" outlineLevel="2">
      <c r="B557" s="23"/>
      <c r="C557" s="9"/>
      <c r="D557" s="146"/>
      <c r="E557" s="146"/>
      <c r="F557" s="325" t="str">
        <f>IF(G555="&lt; enter time taken &gt;","",G555&amp;" minutes must be entered on the KPI sheet as a")</f>
        <v/>
      </c>
      <c r="G557" s="548" t="str">
        <f>IF(G555="&lt; enter time taken &gt;","","MANAGER ENDORSEMENT activity.")</f>
        <v/>
      </c>
      <c r="H557" s="575"/>
      <c r="I557" s="50"/>
      <c r="J557" s="26"/>
      <c r="K557" s="127"/>
    </row>
    <row r="558" spans="2:25" ht="14.45" hidden="1" outlineLevel="2">
      <c r="B558" s="115"/>
      <c r="C558" s="114"/>
      <c r="D558" s="114"/>
      <c r="E558"/>
      <c r="F558" s="9"/>
      <c r="G558" s="9"/>
      <c r="H558" s="9"/>
      <c r="I558" s="50"/>
      <c r="J558" s="116"/>
    </row>
    <row r="559" spans="2:25" s="45" customFormat="1" ht="15" hidden="1" customHeight="1" outlineLevel="2">
      <c r="B559" s="115"/>
      <c r="C559" s="114"/>
      <c r="D559" s="114"/>
      <c r="E559" s="114"/>
      <c r="F559" s="81" t="s">
        <v>218</v>
      </c>
      <c r="G559" s="492" t="s">
        <v>135</v>
      </c>
      <c r="H559" s="534"/>
      <c r="I559" s="50"/>
      <c r="J559" s="116"/>
    </row>
    <row r="560" spans="2:25" s="45" customFormat="1" ht="15" hidden="1" customHeight="1" outlineLevel="2">
      <c r="B560" s="115"/>
      <c r="C560" s="114"/>
      <c r="D560" s="114"/>
      <c r="E560" s="114"/>
      <c r="F560" s="81"/>
      <c r="G560" s="82"/>
      <c r="H560" s="83"/>
      <c r="I560" s="50"/>
      <c r="J560" s="116"/>
    </row>
    <row r="561" spans="2:12" s="45" customFormat="1" ht="14.45" hidden="1" outlineLevel="2">
      <c r="B561" s="115"/>
      <c r="F561" s="29"/>
      <c r="G561" s="33"/>
      <c r="H561" s="33"/>
      <c r="I561" s="33"/>
      <c r="J561" s="116"/>
    </row>
    <row r="562" spans="2:12" ht="15" hidden="1" customHeight="1" outlineLevel="1" collapsed="1">
      <c r="B562" s="537" t="s">
        <v>261</v>
      </c>
      <c r="C562" s="702"/>
      <c r="D562" s="702"/>
      <c r="E562" s="702"/>
      <c r="F562" s="702"/>
      <c r="G562" s="702"/>
      <c r="H562" s="702"/>
      <c r="I562" s="702"/>
      <c r="J562" s="704"/>
    </row>
    <row r="563" spans="2:12" ht="14.45" hidden="1" outlineLevel="2">
      <c r="B563" s="115"/>
      <c r="C563" s="9"/>
      <c r="D563" s="9"/>
      <c r="E563" s="9"/>
      <c r="F563" s="9"/>
      <c r="G563" s="9"/>
      <c r="H563" s="9"/>
      <c r="I563" s="50"/>
      <c r="J563" s="116"/>
    </row>
    <row r="564" spans="2:12" ht="15" hidden="1" customHeight="1" outlineLevel="2">
      <c r="B564" s="115"/>
      <c r="C564" s="9"/>
      <c r="D564" s="9"/>
      <c r="E564" s="9"/>
      <c r="F564" s="9"/>
      <c r="G564" s="182"/>
      <c r="H564" s="118"/>
      <c r="I564" s="50"/>
      <c r="J564" s="116"/>
      <c r="L564" s="143"/>
    </row>
    <row r="565" spans="2:12" ht="15" hidden="1" customHeight="1" outlineLevel="2">
      <c r="B565" s="115"/>
      <c r="C565" s="9"/>
      <c r="D565" s="9"/>
      <c r="E565" s="81"/>
      <c r="F565" s="81" t="str">
        <f>IF(G554="rejected","Proceed to Part 7 of this form                                         .","Passive Grease Arrestor (template certificate):")</f>
        <v>Passive Grease Arrestor (template certificate):</v>
      </c>
      <c r="G565" s="182" t="str">
        <f>IF(G554="rejected","","48969999")</f>
        <v>48969999</v>
      </c>
      <c r="H565" s="118" t="str">
        <f>IF(AND(G554="approved",'4. Panel Member Index'!$U$10="Passive Grease Arrestor"),"Use this template!","")</f>
        <v/>
      </c>
      <c r="I565" s="50"/>
      <c r="J565" s="116"/>
    </row>
    <row r="566" spans="2:12" ht="15" hidden="1" customHeight="1" outlineLevel="2">
      <c r="B566" s="115"/>
      <c r="C566" s="9"/>
      <c r="D566" s="9"/>
      <c r="E566"/>
      <c r="F566" s="81" t="str">
        <f>IF(G554="rejected","","Active Grease Separator (template certificate):")</f>
        <v>Active Grease Separator (template certificate):</v>
      </c>
      <c r="G566" s="182" t="str">
        <f>IF(G554="rejected","","48968936")</f>
        <v>48968936</v>
      </c>
      <c r="H566" s="118" t="str">
        <f>IF(AND(G554="approved",'4. Panel Member Index'!$U$10="Active Grease Separator"),"Use this template!","")</f>
        <v/>
      </c>
      <c r="I566" s="50"/>
      <c r="J566" s="116"/>
    </row>
    <row r="567" spans="2:12" ht="15" hidden="1" customHeight="1" outlineLevel="2">
      <c r="B567" s="115"/>
      <c r="C567" s="9"/>
      <c r="D567" s="9"/>
      <c r="E567"/>
      <c r="F567" s="81" t="str">
        <f>IF(G554="rejected","","Oil Water Separator (template certificate):")</f>
        <v>Oil Water Separator (template certificate):</v>
      </c>
      <c r="G567" s="182" t="str">
        <f>IF(G554="rejected","","48969961")</f>
        <v>48969961</v>
      </c>
      <c r="H567" s="118" t="str">
        <f>IF(AND(G554="approved",'4. Panel Member Index'!$U$10="Oil Water Separator"),"Use this template!","")</f>
        <v/>
      </c>
      <c r="I567" s="50"/>
      <c r="J567" s="116"/>
    </row>
    <row r="568" spans="2:12" ht="15" hidden="1" customHeight="1" outlineLevel="2">
      <c r="B568" s="115"/>
      <c r="C568" s="9"/>
      <c r="D568" s="9"/>
      <c r="E568"/>
      <c r="F568" s="81" t="str">
        <f>IF(G554="rejected","","Pits and Traps - Large Traps (template certificate):")</f>
        <v>Pits and Traps - Large Traps (template certificate):</v>
      </c>
      <c r="G568" s="182" t="str">
        <f>IF(G554="rejected","","48970052")</f>
        <v>48970052</v>
      </c>
      <c r="H568" s="118" t="str">
        <f>IF(AND(G554="approved",'4. Panel Member Index'!$U$10="Pits and Traps - Large Traps"),"Use this template!","")</f>
        <v/>
      </c>
      <c r="I568" s="50"/>
      <c r="J568" s="116"/>
    </row>
    <row r="569" spans="2:12" ht="15" hidden="1" customHeight="1" outlineLevel="2">
      <c r="B569" s="115"/>
      <c r="C569" s="9"/>
      <c r="D569" s="9"/>
      <c r="E569"/>
      <c r="F569" s="81" t="str">
        <f>IF(G554="rejected","","Pits and Traps - Basket and In-Sink/Floor Traps (template certificate):")</f>
        <v>Pits and Traps - Basket and In-Sink/Floor Traps (template certificate):</v>
      </c>
      <c r="G569" s="182" t="str">
        <f>IF(G554="rejected","","48971002")</f>
        <v>48971002</v>
      </c>
      <c r="H569" s="118" t="str">
        <f>IF(AND(G554="approved",'4. Panel Member Index'!$U$10="Pits and Traps - Basket or In-Sink/Floor Traps"),"Use this template!","")</f>
        <v/>
      </c>
      <c r="I569" s="50"/>
      <c r="J569" s="116"/>
    </row>
    <row r="570" spans="2:12" ht="15" hidden="1" customHeight="1" outlineLevel="2">
      <c r="B570" s="115"/>
      <c r="C570" s="9"/>
      <c r="D570" s="9"/>
      <c r="E570"/>
      <c r="F570" s="81" t="str">
        <f>IF(G554="rejected","","Additives (template certificate):")</f>
        <v>Additives (template certificate):</v>
      </c>
      <c r="G570" s="182" t="str">
        <f>IF(G554="rejected","","48972003")</f>
        <v>48972003</v>
      </c>
      <c r="H570" s="118" t="str">
        <f>IF(AND(G554="approved",'4. Panel Member Index'!$U$10="Additives"),"Use this template!","")</f>
        <v/>
      </c>
      <c r="I570" s="50"/>
      <c r="J570" s="116"/>
    </row>
    <row r="571" spans="2:12" ht="15" hidden="1" customHeight="1" outlineLevel="2">
      <c r="B571" s="115"/>
      <c r="C571" s="9"/>
      <c r="D571" s="9"/>
      <c r="E571"/>
      <c r="F571" s="81" t="str">
        <f>IF(G554="rejected","","Other (template certificate):")</f>
        <v>Other (template certificate):</v>
      </c>
      <c r="G571" s="84" t="str">
        <f>IF(G554="rejected","","48972016")</f>
        <v>48972016</v>
      </c>
      <c r="H571" s="118" t="str">
        <f>IF(AND(G554="approved",'4. Panel Member Index'!$U$10="Other"),"Use this template!","")</f>
        <v/>
      </c>
      <c r="I571" s="50"/>
      <c r="J571" s="116"/>
    </row>
    <row r="572" spans="2:12" ht="15" hidden="1" customHeight="1" outlineLevel="2">
      <c r="B572" s="115"/>
      <c r="C572" s="9"/>
      <c r="D572" s="9"/>
      <c r="E572" s="9"/>
      <c r="F572" s="9"/>
      <c r="G572" s="9"/>
      <c r="H572" s="9"/>
      <c r="I572" s="50"/>
      <c r="J572" s="116"/>
    </row>
    <row r="573" spans="2:12" ht="15" hidden="1" customHeight="1" outlineLevel="2">
      <c r="B573" s="115"/>
      <c r="C573" s="9"/>
      <c r="D573" s="9"/>
      <c r="E573" s="177"/>
      <c r="F573" s="80" t="str">
        <f>IF(G554="rejected","","From the Approval Number Issue Log tab select the next sequential issue number (unless already issued): ")</f>
        <v xml:space="preserve">From the Approval Number Issue Log tab select the next sequential issue number (unless already issued): </v>
      </c>
      <c r="G573" s="84" t="str">
        <f>IF(G554="rejected","","Open the Product Approval Register here")</f>
        <v>Open the Product Approval Register here</v>
      </c>
      <c r="H573" s="50"/>
      <c r="I573" s="50"/>
      <c r="J573" s="116"/>
      <c r="L573" s="134"/>
    </row>
    <row r="574" spans="2:12" ht="15" hidden="1" customHeight="1" outlineLevel="2">
      <c r="B574" s="115"/>
      <c r="C574" s="9"/>
      <c r="D574" s="9"/>
      <c r="E574" s="177"/>
      <c r="F574" s="80" t="str">
        <f>IF(G554="rejected","","Refer to this NEXUS folder number to find the previously created approved certificate that must be used to make this new one: ")</f>
        <v xml:space="preserve">Refer to this NEXUS folder number to find the previously created approved certificate that must be used to make this new one: </v>
      </c>
      <c r="G574" s="236" t="str">
        <f>IF('3. Registration'!D39="&lt; Add NEXUS document name here that was generated from the Product Appraisal KPI sheet (refer image on right) &gt;","",IF(OR((LEFT('3. Registration'!D39,3)="JT1"),(LEFT('3. Registration'!D39,3)="CC1")),(LEFT('3. Registration'!D39,18)),'3. Registration'!D39))</f>
        <v/>
      </c>
      <c r="H574" s="50"/>
      <c r="I574" s="50"/>
      <c r="J574" s="116"/>
      <c r="L574" s="134"/>
    </row>
    <row r="575" spans="2:12" ht="15" hidden="1" customHeight="1" outlineLevel="2">
      <c r="B575" s="115"/>
      <c r="C575" s="9"/>
      <c r="D575" s="9"/>
      <c r="E575" s="178"/>
      <c r="F575" s="81" t="str">
        <f>IF(G554="rejected","","NEXUS number of Approval Certificate that was just created and saved in NEXUS:")</f>
        <v>NEXUS number of Approval Certificate that was just created and saved in NEXUS:</v>
      </c>
      <c r="G575" s="476" t="str">
        <f>IF(G554="rejected","","&lt; NEXUS number of Approval Certificate that was just created and saved in NEXUS &gt;")</f>
        <v>&lt; NEXUS number of Approval Certificate that was just created and saved in NEXUS &gt;</v>
      </c>
      <c r="H575" s="476"/>
      <c r="I575" s="50"/>
      <c r="J575" s="116"/>
      <c r="L575" s="344"/>
    </row>
    <row r="576" spans="2:12" ht="15" hidden="1" customHeight="1" outlineLevel="2">
      <c r="B576" s="115"/>
      <c r="C576" s="9"/>
      <c r="D576" s="9"/>
      <c r="E576" s="178"/>
      <c r="F576" s="81" t="str">
        <f>IF(G554="rejected","","The current approval number for this appraisal is:")</f>
        <v>The current approval number for this appraisal is:</v>
      </c>
      <c r="G576" s="476" t="str">
        <f>IF(G554="rejected","",'3. Registration'!L37)</f>
        <v/>
      </c>
      <c r="H576" s="476"/>
      <c r="I576" s="50"/>
      <c r="J576" s="116"/>
    </row>
    <row r="577" spans="2:25" ht="15" hidden="1" customHeight="1" outlineLevel="2">
      <c r="B577" s="115"/>
      <c r="C577" s="9"/>
      <c r="D577" s="9"/>
      <c r="E577" s="178"/>
      <c r="F577" s="81" t="s">
        <v>262</v>
      </c>
      <c r="G577" s="476" t="str">
        <f>IF(G554="rejected","0","&lt; enter time taken &gt;")</f>
        <v>&lt; enter time taken &gt;</v>
      </c>
      <c r="H577" s="476"/>
      <c r="I577" s="50"/>
      <c r="J577" s="116"/>
    </row>
    <row r="578" spans="2:25" ht="14.45" hidden="1" outlineLevel="2">
      <c r="B578" s="115"/>
      <c r="C578" s="114"/>
      <c r="D578" s="114"/>
      <c r="E578" s="114"/>
      <c r="F578" s="9"/>
      <c r="G578" s="9"/>
      <c r="H578" s="9"/>
      <c r="I578" s="50"/>
      <c r="J578" s="116"/>
    </row>
    <row r="579" spans="2:25" ht="15" hidden="1" customHeight="1" outlineLevel="2">
      <c r="B579" s="23"/>
      <c r="C579" s="9"/>
      <c r="D579" s="146"/>
      <c r="E579" s="146"/>
      <c r="F579" s="325" t="str">
        <f>IF(G577="0",G577&amp;" minutes must be entered on the KPI sheet as a",IF(G554="rejected","",IF(G577="&lt; enter time taken &gt;","",G577&amp;" minutes must be entered on the KPI sheet as a")))</f>
        <v/>
      </c>
      <c r="G579" s="476" t="str">
        <f>IF(G577="0","CREATE APPROVAL CERTIFICATE activity.",IF(G554="rejected","",IF(G577="&lt; enter time taken &gt;","","CREATE APPROVAL CERTIFICATE activity.")))</f>
        <v/>
      </c>
      <c r="H579" s="529"/>
      <c r="I579" s="50"/>
      <c r="J579" s="26"/>
      <c r="K579" s="127"/>
    </row>
    <row r="580" spans="2:25" ht="14.45" hidden="1" outlineLevel="2">
      <c r="B580" s="115"/>
      <c r="C580" s="9"/>
      <c r="D580" s="9"/>
      <c r="E580" s="178"/>
      <c r="F580" s="9"/>
      <c r="G580" s="9"/>
      <c r="H580" s="9"/>
      <c r="I580" s="50"/>
      <c r="J580" s="116"/>
    </row>
    <row r="581" spans="2:25" s="45" customFormat="1" ht="15" hidden="1" customHeight="1" outlineLevel="2">
      <c r="B581" s="115"/>
      <c r="C581" s="114"/>
      <c r="D581" s="114"/>
      <c r="E581" s="114"/>
      <c r="F581" s="81" t="s">
        <v>228</v>
      </c>
      <c r="G581" s="492" t="s">
        <v>135</v>
      </c>
      <c r="H581" s="534"/>
      <c r="I581" s="50"/>
      <c r="J581" s="26"/>
    </row>
    <row r="582" spans="2:25" s="45" customFormat="1" ht="15" hidden="1" customHeight="1" outlineLevel="2">
      <c r="B582" s="115"/>
      <c r="C582" s="114"/>
      <c r="D582" s="114"/>
      <c r="E582" s="114"/>
      <c r="F582" s="81"/>
      <c r="G582" s="82"/>
      <c r="H582" s="83"/>
      <c r="I582" s="50"/>
      <c r="J582" s="26"/>
    </row>
    <row r="583" spans="2:25" ht="14.45" hidden="1" outlineLevel="2">
      <c r="B583" s="115"/>
      <c r="C583" s="45"/>
      <c r="D583" s="45"/>
      <c r="E583" s="45"/>
      <c r="J583" s="35"/>
    </row>
    <row r="584" spans="2:25" ht="15" hidden="1" customHeight="1" outlineLevel="1" collapsed="1">
      <c r="B584" s="537" t="s">
        <v>263</v>
      </c>
      <c r="C584" s="702"/>
      <c r="D584" s="702"/>
      <c r="E584" s="702"/>
      <c r="F584" s="702"/>
      <c r="G584" s="702"/>
      <c r="H584" s="702"/>
      <c r="I584" s="702"/>
      <c r="J584" s="704"/>
    </row>
    <row r="585" spans="2:25" ht="14.45" hidden="1" outlineLevel="2">
      <c r="B585" s="115"/>
      <c r="C585" s="9"/>
      <c r="D585" s="9"/>
      <c r="E585" s="9"/>
      <c r="F585" s="9"/>
      <c r="G585" s="9"/>
      <c r="H585" s="9"/>
      <c r="I585" s="50"/>
      <c r="J585" s="35"/>
    </row>
    <row r="586" spans="2:25" ht="14.45" hidden="1" outlineLevel="2">
      <c r="B586" s="115"/>
      <c r="C586" s="9"/>
      <c r="D586"/>
      <c r="E586"/>
      <c r="F586" s="46" t="str">
        <f>IF(G554="rejected","","Prepare DRAFT Approval Certificate e-mail using this e-mail template:")</f>
        <v>Prepare DRAFT Approval Certificate e-mail using this e-mail template:</v>
      </c>
      <c r="G586" s="84" t="str">
        <f>IF(G554="rejected","","62019043")</f>
        <v>62019043</v>
      </c>
      <c r="H586" s="9"/>
      <c r="I586" s="50"/>
      <c r="J586" s="35"/>
    </row>
    <row r="587" spans="2:25" ht="14.45" hidden="1" outlineLevel="2">
      <c r="B587" s="115"/>
      <c r="C587" s="9"/>
      <c r="D587"/>
      <c r="E587" s="9"/>
      <c r="F587" s="9"/>
      <c r="G587" s="9"/>
      <c r="H587" s="9"/>
      <c r="I587" s="50"/>
      <c r="J587" s="35"/>
      <c r="L587" s="557" t="s">
        <v>179</v>
      </c>
      <c r="M587" s="558"/>
      <c r="N587" s="558"/>
      <c r="O587" s="558"/>
      <c r="P587" s="558"/>
      <c r="Q587" s="558"/>
      <c r="R587" s="558"/>
      <c r="S587" s="558"/>
      <c r="T587" s="558"/>
      <c r="U587" s="558"/>
      <c r="V587" s="558"/>
      <c r="W587" s="558"/>
      <c r="X587" s="558"/>
      <c r="Y587" s="558"/>
    </row>
    <row r="588" spans="2:25" ht="15" hidden="1" customHeight="1" outlineLevel="2">
      <c r="B588" s="115"/>
      <c r="C588" s="114"/>
      <c r="D588" s="114"/>
      <c r="E588"/>
      <c r="F588" s="81" t="str">
        <f>IF(G554="rejected","","NEXUS Document Number Reference of E-Mail Sent:")</f>
        <v>NEXUS Document Number Reference of E-Mail Sent:</v>
      </c>
      <c r="G588" s="476" t="str">
        <f>IF(G554="rejected","","&lt; enter NEXUS Ref and (sub) version # &gt;")</f>
        <v>&lt; enter NEXUS Ref and (sub) version # &gt;</v>
      </c>
      <c r="H588" s="508"/>
      <c r="I588" s="50"/>
      <c r="J588" s="116"/>
      <c r="K588" s="139" t="s">
        <v>182</v>
      </c>
      <c r="L588" s="558"/>
      <c r="M588" s="558"/>
      <c r="N588" s="558"/>
      <c r="O588" s="558"/>
      <c r="P588" s="558"/>
      <c r="Q588" s="558"/>
      <c r="R588" s="558"/>
      <c r="S588" s="558"/>
      <c r="T588" s="558"/>
      <c r="U588" s="558"/>
      <c r="V588" s="558"/>
      <c r="W588" s="558"/>
      <c r="X588" s="558"/>
      <c r="Y588" s="558"/>
    </row>
    <row r="589" spans="2:25" ht="15" hidden="1" customHeight="1" outlineLevel="2">
      <c r="B589" s="115"/>
      <c r="C589" s="9"/>
      <c r="D589"/>
      <c r="E589"/>
      <c r="F589" s="80" t="s">
        <v>234</v>
      </c>
      <c r="G589" s="476" t="str">
        <f>IF(G554="rejected","0","&lt; enter time taken &gt;")</f>
        <v>&lt; enter time taken &gt;</v>
      </c>
      <c r="H589" s="508"/>
      <c r="I589" s="50"/>
      <c r="J589" s="35"/>
      <c r="L589" s="558"/>
      <c r="M589" s="558"/>
      <c r="N589" s="558"/>
      <c r="O589" s="558"/>
      <c r="P589" s="558"/>
      <c r="Q589" s="558"/>
      <c r="R589" s="558"/>
      <c r="S589" s="558"/>
      <c r="T589" s="558"/>
      <c r="U589" s="558"/>
      <c r="V589" s="558"/>
      <c r="W589" s="558"/>
      <c r="X589" s="558"/>
      <c r="Y589" s="558"/>
    </row>
    <row r="590" spans="2:25" ht="14.45" hidden="1" outlineLevel="2">
      <c r="B590" s="115"/>
      <c r="C590" s="114"/>
      <c r="D590" s="114"/>
      <c r="E590" s="114"/>
      <c r="F590" s="9"/>
      <c r="G590" s="9"/>
      <c r="H590" s="9"/>
      <c r="I590" s="50"/>
      <c r="J590" s="116"/>
    </row>
    <row r="591" spans="2:25" ht="15" hidden="1" customHeight="1" outlineLevel="2">
      <c r="B591" s="23"/>
      <c r="C591" s="9"/>
      <c r="D591" s="146"/>
      <c r="E591" s="146"/>
      <c r="F591" s="325" t="str">
        <f>IF(G589="0",G589&amp;" minutes must be entered on the KPI sheet as a",IF(G554='[1](admin) Drop Down Variables'!D78,"",IF(G589="&lt; enter time taken &gt;","",G589&amp;" minutes must be entered on the KPI sheet as a")))</f>
        <v/>
      </c>
      <c r="G591" s="476" t="str">
        <f>IF(G589="0","DRAFT APPROVAL CERTIFICATE AND FINALISATION COMMENTS activity.",IF(G554='[1](admin) Drop Down Variables'!D78,"",IF(G589="&lt; enter time taken &gt;","","DRAFT APPROVAL CERTIFICATE AND FINALISATION COMMENTS activity.")))</f>
        <v/>
      </c>
      <c r="H591" s="529"/>
      <c r="I591" s="529"/>
      <c r="J591" s="26"/>
      <c r="K591" s="127"/>
    </row>
    <row r="592" spans="2:25" ht="14.45" hidden="1" outlineLevel="2">
      <c r="B592" s="115"/>
      <c r="C592" s="9"/>
      <c r="D592"/>
      <c r="E592" s="9"/>
      <c r="F592" s="9"/>
      <c r="G592" s="9"/>
      <c r="H592" s="9"/>
      <c r="I592" s="9"/>
      <c r="J592" s="35"/>
    </row>
    <row r="593" spans="2:25" s="45" customFormat="1" ht="15" hidden="1" customHeight="1" outlineLevel="2">
      <c r="B593" s="115"/>
      <c r="C593" s="114"/>
      <c r="D593" s="114"/>
      <c r="E593" s="114"/>
      <c r="F593" s="81" t="s">
        <v>232</v>
      </c>
      <c r="G593" s="492" t="s">
        <v>135</v>
      </c>
      <c r="H593" s="534"/>
      <c r="I593" s="9"/>
      <c r="J593" s="35"/>
    </row>
    <row r="594" spans="2:25" s="45" customFormat="1" ht="15" hidden="1" customHeight="1" outlineLevel="2">
      <c r="B594" s="115"/>
      <c r="C594" s="114"/>
      <c r="D594" s="114"/>
      <c r="E594" s="114"/>
      <c r="F594" s="81"/>
      <c r="G594" s="82"/>
      <c r="H594" s="83"/>
      <c r="I594" s="9"/>
      <c r="J594" s="35"/>
    </row>
    <row r="595" spans="2:25" ht="14.45" hidden="1" outlineLevel="2">
      <c r="B595" s="115"/>
      <c r="C595" s="45"/>
      <c r="D595" s="45"/>
      <c r="E595" s="45"/>
      <c r="J595" s="35"/>
    </row>
    <row r="596" spans="2:25" ht="15" hidden="1" customHeight="1" outlineLevel="1" collapsed="1">
      <c r="B596" s="537" t="s">
        <v>264</v>
      </c>
      <c r="C596" s="702"/>
      <c r="D596" s="702"/>
      <c r="E596" s="702"/>
      <c r="F596" s="702"/>
      <c r="G596" s="702"/>
      <c r="H596" s="702"/>
      <c r="I596" s="702"/>
      <c r="J596" s="704"/>
    </row>
    <row r="597" spans="2:25" ht="14.45" hidden="1" outlineLevel="2">
      <c r="B597" s="115"/>
      <c r="C597" s="9"/>
      <c r="D597" s="9"/>
      <c r="E597" s="9"/>
      <c r="F597" s="9"/>
      <c r="G597" s="9"/>
      <c r="H597" s="9"/>
      <c r="I597" s="50"/>
      <c r="J597" s="35"/>
    </row>
    <row r="598" spans="2:25" ht="14.45" hidden="1" outlineLevel="2">
      <c r="B598" s="115"/>
      <c r="C598" s="9"/>
      <c r="D598"/>
      <c r="E598"/>
      <c r="F598" s="46" t="str">
        <f>IF(G554="rejected","","Prepare approval e-mail using this e-mail template:")</f>
        <v>Prepare approval e-mail using this e-mail template:</v>
      </c>
      <c r="G598" s="84" t="str">
        <f>IF(G554="rejected","","62020984")</f>
        <v>62020984</v>
      </c>
      <c r="H598" s="9"/>
      <c r="I598" s="50"/>
      <c r="J598" s="35"/>
    </row>
    <row r="599" spans="2:25" ht="15" hidden="1" customHeight="1" outlineLevel="2">
      <c r="B599" s="115"/>
      <c r="C599" s="9"/>
      <c r="D599" s="9"/>
      <c r="E599" s="178"/>
      <c r="F599" s="81" t="str">
        <f>IF(G554="rejected","","What is the final approval date on the new approval certificate:")</f>
        <v>What is the final approval date on the new approval certificate:</v>
      </c>
      <c r="G599" s="571" t="str">
        <f>IF(G554="rejected","","&lt; approval date as shown on certificate &gt;")</f>
        <v>&lt; approval date as shown on certificate &gt;</v>
      </c>
      <c r="H599" s="572"/>
      <c r="I599" s="50"/>
      <c r="J599" s="116"/>
    </row>
    <row r="600" spans="2:25" ht="15" hidden="1" customHeight="1" outlineLevel="2">
      <c r="B600" s="115"/>
      <c r="C600" s="9"/>
      <c r="D600" s="9"/>
      <c r="E600" s="178"/>
      <c r="F600" s="81" t="str">
        <f>IF(G554="rejected","","What is the new expiry duration period:")</f>
        <v>What is the new expiry duration period:</v>
      </c>
      <c r="G600" s="476" t="str">
        <f>IF(G554="rejected","","&lt; enter duration period (years) from certificate &gt;")</f>
        <v>&lt; enter duration period (years) from certificate &gt;</v>
      </c>
      <c r="H600" s="508"/>
      <c r="I600" s="50"/>
      <c r="J600" s="116"/>
    </row>
    <row r="601" spans="2:25" ht="15" hidden="1" customHeight="1" outlineLevel="2">
      <c r="B601" s="115"/>
      <c r="C601" s="9"/>
      <c r="D601" s="9"/>
      <c r="E601" s="178"/>
      <c r="F601" s="81" t="str">
        <f>IF(G554="rejected","","New expiry date is:")</f>
        <v>New expiry date is:</v>
      </c>
      <c r="G601" s="567" t="e">
        <f>IF(G554="rejected","",G599+(365*G600))</f>
        <v>#VALUE!</v>
      </c>
      <c r="H601" s="508"/>
      <c r="I601" s="50"/>
      <c r="J601" s="116"/>
    </row>
    <row r="602" spans="2:25" ht="15" hidden="1" customHeight="1" outlineLevel="2">
      <c r="B602" s="115"/>
      <c r="C602" s="9"/>
      <c r="D602" s="9"/>
      <c r="E602" s="178"/>
      <c r="F602" s="81"/>
      <c r="G602" s="179"/>
      <c r="H602" s="50"/>
      <c r="I602" s="50"/>
      <c r="J602" s="116"/>
    </row>
    <row r="603" spans="2:25" ht="14.45" hidden="1" outlineLevel="2">
      <c r="B603" s="115"/>
      <c r="C603" s="9"/>
      <c r="D603"/>
      <c r="E603"/>
      <c r="F603" s="46" t="str">
        <f>IF(G554="approved","","Prepare rejection e-mail using this e-mail template:")</f>
        <v>Prepare rejection e-mail using this e-mail template:</v>
      </c>
      <c r="G603" s="84" t="str">
        <f>IF(G554="approved","","62020955")</f>
        <v>62020955</v>
      </c>
      <c r="H603" s="9"/>
      <c r="I603" s="50"/>
      <c r="J603" s="35"/>
    </row>
    <row r="604" spans="2:25" ht="14.45" hidden="1" outlineLevel="2">
      <c r="B604" s="115"/>
      <c r="C604" s="9"/>
      <c r="D604"/>
      <c r="E604" s="9"/>
      <c r="F604" s="9"/>
      <c r="G604" s="9"/>
      <c r="H604" s="9"/>
      <c r="I604" s="50"/>
      <c r="J604" s="35"/>
      <c r="L604" s="557" t="s">
        <v>179</v>
      </c>
      <c r="M604" s="558"/>
      <c r="N604" s="558"/>
      <c r="O604" s="558"/>
      <c r="P604" s="558"/>
      <c r="Q604" s="558"/>
      <c r="R604" s="558"/>
      <c r="S604" s="558"/>
      <c r="T604" s="558"/>
      <c r="U604" s="558"/>
      <c r="V604" s="558"/>
      <c r="W604" s="558"/>
      <c r="X604" s="558"/>
      <c r="Y604" s="558"/>
    </row>
    <row r="605" spans="2:25" ht="15" hidden="1" customHeight="1" outlineLevel="2">
      <c r="B605" s="115"/>
      <c r="C605" s="114"/>
      <c r="D605" s="114"/>
      <c r="E605"/>
      <c r="F605" s="81" t="s">
        <v>180</v>
      </c>
      <c r="G605" s="476" t="s">
        <v>181</v>
      </c>
      <c r="H605" s="508"/>
      <c r="I605" s="50"/>
      <c r="J605" s="116"/>
      <c r="K605" s="139" t="s">
        <v>182</v>
      </c>
      <c r="L605" s="558"/>
      <c r="M605" s="558"/>
      <c r="N605" s="558"/>
      <c r="O605" s="558"/>
      <c r="P605" s="558"/>
      <c r="Q605" s="558"/>
      <c r="R605" s="558"/>
      <c r="S605" s="558"/>
      <c r="T605" s="558"/>
      <c r="U605" s="558"/>
      <c r="V605" s="558"/>
      <c r="W605" s="558"/>
      <c r="X605" s="558"/>
      <c r="Y605" s="558"/>
    </row>
    <row r="606" spans="2:25" ht="15" hidden="1" customHeight="1" outlineLevel="2">
      <c r="B606" s="115"/>
      <c r="C606" s="9"/>
      <c r="D606"/>
      <c r="E606"/>
      <c r="F606" s="81" t="s">
        <v>237</v>
      </c>
      <c r="G606" s="476" t="s">
        <v>97</v>
      </c>
      <c r="H606" s="508"/>
      <c r="I606" s="50"/>
      <c r="J606" s="35"/>
      <c r="L606" s="558"/>
      <c r="M606" s="558"/>
      <c r="N606" s="558"/>
      <c r="O606" s="558"/>
      <c r="P606" s="558"/>
      <c r="Q606" s="558"/>
      <c r="R606" s="558"/>
      <c r="S606" s="558"/>
      <c r="T606" s="558"/>
      <c r="U606" s="558"/>
      <c r="V606" s="558"/>
      <c r="W606" s="558"/>
      <c r="X606" s="558"/>
      <c r="Y606" s="558"/>
    </row>
    <row r="607" spans="2:25" ht="14.45" hidden="1" outlineLevel="2">
      <c r="B607" s="115"/>
      <c r="C607" s="114"/>
      <c r="D607" s="114"/>
      <c r="E607" s="114"/>
      <c r="F607" s="9"/>
      <c r="G607" s="9"/>
      <c r="H607" s="9"/>
      <c r="I607" s="50"/>
      <c r="J607" s="116"/>
    </row>
    <row r="608" spans="2:25" ht="15" hidden="1" customHeight="1" outlineLevel="2">
      <c r="B608" s="23"/>
      <c r="C608" s="9"/>
      <c r="D608" s="146"/>
      <c r="E608" s="146"/>
      <c r="F608" s="325" t="str">
        <f>IF(G606="&lt; enter time taken &gt;","",G606&amp;" minutes must be entered on the KPI sheet as a")</f>
        <v/>
      </c>
      <c r="G608" s="476" t="str">
        <f>IF(G606="&lt; enter time taken &gt;","","FINAL REPLY TO APPLICANT activity.")</f>
        <v/>
      </c>
      <c r="H608" s="529"/>
      <c r="I608" s="50"/>
      <c r="J608" s="26"/>
      <c r="K608" s="127"/>
    </row>
    <row r="609" spans="2:11" ht="14.45" hidden="1" outlineLevel="2">
      <c r="B609" s="115"/>
      <c r="C609" s="9"/>
      <c r="D609"/>
      <c r="E609" s="9"/>
      <c r="F609" s="9"/>
      <c r="G609" s="9"/>
      <c r="H609" s="9"/>
      <c r="I609" s="50"/>
      <c r="J609" s="35"/>
    </row>
    <row r="610" spans="2:11" s="45" customFormat="1" ht="15" hidden="1" customHeight="1" outlineLevel="2">
      <c r="B610" s="115"/>
      <c r="C610" s="114"/>
      <c r="D610" s="114"/>
      <c r="E610" s="114"/>
      <c r="F610" s="81" t="s">
        <v>235</v>
      </c>
      <c r="G610" s="492" t="s">
        <v>135</v>
      </c>
      <c r="H610" s="534"/>
      <c r="I610" s="50"/>
      <c r="J610" s="35"/>
    </row>
    <row r="611" spans="2:11" s="45" customFormat="1" ht="15" hidden="1" customHeight="1" outlineLevel="2">
      <c r="B611" s="115"/>
      <c r="C611" s="114"/>
      <c r="D611" s="114"/>
      <c r="E611" s="114"/>
      <c r="F611" s="81"/>
      <c r="G611" s="82"/>
      <c r="H611" s="83"/>
      <c r="I611" s="50"/>
      <c r="J611" s="35"/>
    </row>
    <row r="612" spans="2:11" ht="14.45" hidden="1" outlineLevel="2">
      <c r="B612" s="115"/>
      <c r="C612" s="45"/>
      <c r="D612" s="45"/>
      <c r="E612" s="45"/>
      <c r="J612" s="35"/>
    </row>
    <row r="613" spans="2:11" ht="15" hidden="1" customHeight="1" outlineLevel="1" collapsed="1">
      <c r="B613" s="537" t="s">
        <v>265</v>
      </c>
      <c r="C613" s="702"/>
      <c r="D613" s="702"/>
      <c r="E613" s="702"/>
      <c r="F613" s="702"/>
      <c r="G613" s="702"/>
      <c r="H613" s="702"/>
      <c r="I613" s="702"/>
      <c r="J613" s="704"/>
    </row>
    <row r="614" spans="2:11" ht="14.45" hidden="1" outlineLevel="2">
      <c r="B614" s="115"/>
      <c r="C614"/>
      <c r="D614"/>
      <c r="E614"/>
      <c r="F614"/>
      <c r="G614"/>
      <c r="H614"/>
      <c r="I614" s="50"/>
      <c r="J614" s="35"/>
    </row>
    <row r="615" spans="2:11" ht="14.45" hidden="1" outlineLevel="2">
      <c r="B615" s="115"/>
      <c r="C615"/>
      <c r="D615" s="547" t="str">
        <f>IF(F544="&lt; Make selection here &gt;",      "",
      IF(AND(OR(G554="approved",G554="rejected"),'3. Registration'!U5='(admin) Drop Down Variables'!D15),    "If the review is due to issues in the field then discuss further with the Manager of Trade Waste.",
            IF(G554="rejected",      "This is an expired or rejected product so select template number 81154757 below.",
            "This is a reapproved product so select template number 81220053 below.")))</f>
        <v/>
      </c>
      <c r="E615" s="678"/>
      <c r="F615" s="678"/>
      <c r="G615" s="9"/>
      <c r="H615" s="9"/>
      <c r="I615" s="50"/>
      <c r="J615" s="35"/>
    </row>
    <row r="616" spans="2:11" ht="14.45" hidden="1" outlineLevel="2">
      <c r="B616" s="115"/>
      <c r="C616"/>
      <c r="D616" s="9"/>
      <c r="E616" s="9"/>
      <c r="F616" s="9"/>
      <c r="G616" s="9"/>
      <c r="H616" s="9"/>
      <c r="I616" s="50"/>
      <c r="J616" s="35"/>
    </row>
    <row r="617" spans="2:11" ht="14.45" hidden="1" outlineLevel="2">
      <c r="B617" s="115"/>
      <c r="C617"/>
      <c r="D617"/>
      <c r="E617"/>
      <c r="F617" s="46"/>
      <c r="G617" s="84"/>
      <c r="H617" s="9"/>
      <c r="I617" s="50"/>
      <c r="J617" s="35"/>
    </row>
    <row r="618" spans="2:11" ht="14.45" hidden="1" outlineLevel="2">
      <c r="B618" s="115"/>
      <c r="C618"/>
      <c r="D618"/>
      <c r="E618"/>
      <c r="F618" s="46" t="str">
        <f>IF(G554="approved","","Prepare Web Page Update request to remove existing products using this e-mail template:")</f>
        <v>Prepare Web Page Update request to remove existing products using this e-mail template:</v>
      </c>
      <c r="G618" s="84" t="str">
        <f>IF(G554="approved","","81154757")</f>
        <v>81154757</v>
      </c>
      <c r="H618" s="9"/>
      <c r="I618" s="50"/>
      <c r="J618" s="35"/>
    </row>
    <row r="619" spans="2:11" ht="14.45" hidden="1" outlineLevel="2">
      <c r="B619" s="115"/>
      <c r="C619"/>
      <c r="D619"/>
      <c r="E619"/>
      <c r="F619" s="46" t="str">
        <f>IF(G554="rejected","","Prepare Web Page Update request to amend existing information using this e-mail template:")</f>
        <v>Prepare Web Page Update request to amend existing information using this e-mail template:</v>
      </c>
      <c r="G619" s="84" t="str">
        <f>IF(G554="rejected","","81220053")</f>
        <v>81220053</v>
      </c>
      <c r="H619" s="9"/>
      <c r="I619" s="50"/>
      <c r="J619" s="35"/>
    </row>
    <row r="620" spans="2:11" ht="14.45" hidden="1" outlineLevel="2">
      <c r="B620" s="115"/>
      <c r="C620"/>
      <c r="D620" s="9"/>
      <c r="E620" s="9"/>
      <c r="F620" s="9"/>
      <c r="G620" s="9"/>
      <c r="H620" s="9"/>
      <c r="I620" s="50"/>
      <c r="J620" s="35"/>
    </row>
    <row r="621" spans="2:11" ht="15" hidden="1" customHeight="1" outlineLevel="2">
      <c r="B621" s="115"/>
      <c r="C621"/>
      <c r="D621"/>
      <c r="E621"/>
      <c r="F621" s="81" t="s">
        <v>266</v>
      </c>
      <c r="G621" s="476" t="s">
        <v>97</v>
      </c>
      <c r="H621" s="508"/>
      <c r="I621" s="50"/>
      <c r="J621" s="35"/>
    </row>
    <row r="622" spans="2:11" ht="14.45" hidden="1" outlineLevel="2">
      <c r="B622" s="115"/>
      <c r="C622" s="114"/>
      <c r="D622" s="114"/>
      <c r="E622" s="114"/>
      <c r="F622" s="9"/>
      <c r="G622" s="9"/>
      <c r="H622" s="9"/>
      <c r="I622" s="50"/>
      <c r="J622" s="116"/>
    </row>
    <row r="623" spans="2:11" ht="15" hidden="1" customHeight="1" outlineLevel="2">
      <c r="B623" s="23"/>
      <c r="C623" s="9"/>
      <c r="D623" s="146"/>
      <c r="E623" s="146"/>
      <c r="F623" s="325" t="str">
        <f>IF(G621="&lt; enter time taken &gt;","",G621&amp;" minutes must be entered on the KPI sheet as a")</f>
        <v/>
      </c>
      <c r="G623" s="476" t="str">
        <f>IF(G621="&lt; enter time taken &gt;","","REQUEST WEB PAGE UPDATE activity.")</f>
        <v/>
      </c>
      <c r="H623" s="529"/>
      <c r="I623" s="50"/>
      <c r="J623" s="26"/>
      <c r="K623" s="127"/>
    </row>
    <row r="624" spans="2:11" ht="14.45" hidden="1" outlineLevel="2">
      <c r="B624" s="115"/>
      <c r="C624"/>
      <c r="D624"/>
      <c r="E624" s="9"/>
      <c r="F624" s="9"/>
      <c r="G624" s="9"/>
      <c r="H624" s="9"/>
      <c r="I624" s="50"/>
      <c r="J624" s="35"/>
    </row>
    <row r="625" spans="2:14" s="45" customFormat="1" ht="15" hidden="1" customHeight="1" outlineLevel="2">
      <c r="B625" s="115"/>
      <c r="C625" s="114"/>
      <c r="D625" s="114"/>
      <c r="E625" s="114"/>
      <c r="F625" s="81" t="s">
        <v>238</v>
      </c>
      <c r="G625" s="492" t="s">
        <v>135</v>
      </c>
      <c r="H625" s="534"/>
      <c r="I625" s="50"/>
      <c r="J625" s="26"/>
    </row>
    <row r="626" spans="2:14" s="45" customFormat="1" ht="15" hidden="1" customHeight="1" outlineLevel="2">
      <c r="B626" s="115"/>
      <c r="C626" s="114"/>
      <c r="D626" s="114"/>
      <c r="E626" s="114"/>
      <c r="F626" s="81"/>
      <c r="G626" s="82"/>
      <c r="H626" s="83"/>
      <c r="I626" s="50"/>
      <c r="J626" s="26"/>
    </row>
    <row r="627" spans="2:14" ht="14.45" hidden="1" outlineLevel="2">
      <c r="B627" s="115"/>
      <c r="C627" s="45"/>
      <c r="J627" s="35"/>
    </row>
    <row r="628" spans="2:14" ht="15" hidden="1" customHeight="1" outlineLevel="1" collapsed="1">
      <c r="B628" s="537" t="s">
        <v>267</v>
      </c>
      <c r="C628" s="702"/>
      <c r="D628" s="702"/>
      <c r="E628" s="702"/>
      <c r="F628" s="702"/>
      <c r="G628" s="702"/>
      <c r="H628" s="702"/>
      <c r="I628" s="702"/>
      <c r="J628" s="704"/>
    </row>
    <row r="629" spans="2:14" ht="14.45" hidden="1" outlineLevel="2">
      <c r="B629" s="115"/>
      <c r="C629" s="573" t="str">
        <f>IF(AND(Q554="rejected",'3. Registration'!AE5&lt;&gt;"New product/s never assessed before"),"","A MIDAS update request is not needed if the appraisal was for an existing product range and the only thing that changed was a new expiry date (which MIDAS does not record).")</f>
        <v>A MIDAS update request is not needed if the appraisal was for an existing product range and the only thing that changed was a new expiry date (which MIDAS does not record).</v>
      </c>
      <c r="D629"/>
      <c r="E629"/>
      <c r="F629"/>
      <c r="G629"/>
      <c r="H629"/>
      <c r="I629" s="50"/>
      <c r="J629" s="35"/>
    </row>
    <row r="630" spans="2:14" ht="14.45" hidden="1" outlineLevel="2">
      <c r="B630" s="115"/>
      <c r="C630" s="573"/>
      <c r="D630" s="547" t="str">
        <f>IF(AND(G554="rejected",'3. Registration'!U5="Review of expired only product/s with no change since previous approval"),"This is an expired product so select template number 62020937 below.","")</f>
        <v/>
      </c>
      <c r="E630" s="547"/>
      <c r="F630" s="547"/>
      <c r="G630" s="678"/>
      <c r="H630" s="9"/>
      <c r="I630" s="50"/>
      <c r="J630" s="35"/>
      <c r="N630" s="326"/>
    </row>
    <row r="631" spans="2:14" ht="14.45" hidden="1" outlineLevel="2">
      <c r="B631" s="115"/>
      <c r="C631" s="573"/>
      <c r="D631"/>
      <c r="E631"/>
      <c r="F631" s="9"/>
      <c r="G631" s="9"/>
      <c r="H631" s="9"/>
      <c r="I631" s="50"/>
      <c r="J631" s="35"/>
      <c r="N631" s="326"/>
    </row>
    <row r="632" spans="2:14" ht="15" hidden="1" outlineLevel="2">
      <c r="B632" s="115"/>
      <c r="C632" s="573"/>
      <c r="D632"/>
      <c r="E632"/>
      <c r="F632" s="46" t="str">
        <f>IF(AND(G554="rejected",'3. Registration'!U5="Review of expired only product/s with no change since previous approval"),"Prepare MIDAS Table Update request to remove existing products using this e-mail template:","")</f>
        <v/>
      </c>
      <c r="G632" s="84" t="str">
        <f>IF(AND(G554="rejected",'3. Registration'!U5="Review of expired only product/s with no change since previous approval"),"62020937","")</f>
        <v/>
      </c>
      <c r="H632" s="9"/>
      <c r="I632" s="50"/>
      <c r="J632" s="35"/>
      <c r="N632" s="104"/>
    </row>
    <row r="633" spans="2:14" ht="15" hidden="1" outlineLevel="2">
      <c r="B633" s="115"/>
      <c r="C633" s="573"/>
      <c r="D633"/>
      <c r="E633"/>
      <c r="F633" s="46"/>
      <c r="G633" s="84"/>
      <c r="H633" s="9"/>
      <c r="I633" s="50"/>
      <c r="J633" s="35"/>
      <c r="N633" s="104"/>
    </row>
    <row r="634" spans="2:14" ht="15" hidden="1" customHeight="1" outlineLevel="2">
      <c r="B634" s="115"/>
      <c r="C634" s="573"/>
      <c r="D634"/>
      <c r="E634"/>
      <c r="F634" s="81" t="str">
        <f>IF(AND(G554="rejected",'3. Registration'!U5="Review of expired only product/s with no change since previous approval"),"Time taken for Requesting MIDAS Update (minutes):","")</f>
        <v/>
      </c>
      <c r="G634" s="476" t="str">
        <f>IF(AND(G554="rejected",'3. Registration'!U5="Review of expired only product/s with no change since previous approval"),"&lt; enter time taken &gt;","")</f>
        <v/>
      </c>
      <c r="H634" s="476"/>
      <c r="I634" s="50"/>
      <c r="J634" s="35"/>
      <c r="N634" s="104"/>
    </row>
    <row r="635" spans="2:14" ht="15" hidden="1" outlineLevel="2">
      <c r="B635" s="115"/>
      <c r="C635" s="573"/>
      <c r="D635" s="114"/>
      <c r="E635" s="114"/>
      <c r="F635" s="9"/>
      <c r="G635" s="9"/>
      <c r="H635" s="9"/>
      <c r="I635" s="50"/>
      <c r="J635" s="116"/>
      <c r="N635" s="104"/>
    </row>
    <row r="636" spans="2:14" ht="15" hidden="1" customHeight="1" outlineLevel="2">
      <c r="B636" s="23"/>
      <c r="C636" s="573"/>
      <c r="D636" s="146"/>
      <c r="E636" s="146"/>
      <c r="F636" s="325" t="str">
        <f>IF(AND(G554="rejected",'3. Registration'!U5="Review of expired only product/s with no change since previous approval"),"",IF(G634="","",G634&amp;" minutes must be entered on the KPI sheet as a"))</f>
        <v/>
      </c>
      <c r="G636" s="476" t="str">
        <f>IF(AND(G554="rejected",'3. Registration'!U5="Review of expired only product/s with no change since previous approval"),"",IF(G634="","","REQUEST MIDAS UPDATE activity."))</f>
        <v/>
      </c>
      <c r="H636" s="529"/>
      <c r="I636" s="50"/>
      <c r="J636" s="26"/>
      <c r="K636" s="127"/>
      <c r="N636" s="104"/>
    </row>
    <row r="637" spans="2:14" ht="14.45" hidden="1" outlineLevel="2">
      <c r="B637" s="115"/>
      <c r="C637" s="573"/>
      <c r="D637"/>
      <c r="E637"/>
      <c r="F637" s="9"/>
      <c r="G637" s="9"/>
      <c r="H637" s="9"/>
      <c r="I637" s="50"/>
      <c r="J637" s="35"/>
      <c r="N637" s="326"/>
    </row>
    <row r="638" spans="2:14" s="45" customFormat="1" ht="15" hidden="1" customHeight="1" outlineLevel="2">
      <c r="B638" s="115"/>
      <c r="C638" s="574"/>
      <c r="D638" s="114"/>
      <c r="E638" s="114"/>
      <c r="F638" s="81" t="s">
        <v>241</v>
      </c>
      <c r="G638" s="492" t="s">
        <v>135</v>
      </c>
      <c r="H638" s="492"/>
      <c r="I638" s="50"/>
      <c r="J638" s="26"/>
      <c r="N638" s="326"/>
    </row>
    <row r="639" spans="2:14" s="45" customFormat="1" ht="15" hidden="1" customHeight="1" outlineLevel="2">
      <c r="B639" s="115"/>
      <c r="C639" s="574"/>
      <c r="D639" s="114"/>
      <c r="E639" s="114"/>
      <c r="F639" s="81"/>
      <c r="G639" s="82"/>
      <c r="H639" s="83"/>
      <c r="I639" s="50"/>
      <c r="J639" s="26"/>
      <c r="N639" s="326"/>
    </row>
    <row r="640" spans="2:14" ht="14.45" hidden="1" outlineLevel="2">
      <c r="B640" s="115"/>
      <c r="C640" s="45"/>
      <c r="J640" s="35"/>
      <c r="N640" s="326"/>
    </row>
    <row r="641" spans="2:14" ht="15" hidden="1" customHeight="1" outlineLevel="1" collapsed="1">
      <c r="B641" s="537" t="s">
        <v>268</v>
      </c>
      <c r="C641" s="702"/>
      <c r="D641" s="702"/>
      <c r="E641" s="702"/>
      <c r="F641" s="702"/>
      <c r="G641" s="702"/>
      <c r="H641" s="702"/>
      <c r="I641" s="702"/>
      <c r="J641" s="704"/>
      <c r="N641" s="114"/>
    </row>
    <row r="642" spans="2:14" ht="14.45" hidden="1" outlineLevel="2">
      <c r="B642" s="115"/>
      <c r="C642" s="9"/>
      <c r="D642" s="9"/>
      <c r="E642" s="9"/>
      <c r="F642" s="9"/>
      <c r="G642" s="9"/>
      <c r="H642" s="9"/>
      <c r="I642" s="50"/>
      <c r="J642" s="35"/>
      <c r="N642" s="114"/>
    </row>
    <row r="643" spans="2:14" ht="14.45" hidden="1" outlineLevel="2">
      <c r="B643" s="115"/>
      <c r="C643" s="9"/>
      <c r="D643" s="9"/>
      <c r="E643" s="9"/>
      <c r="F643" s="80" t="s">
        <v>246</v>
      </c>
      <c r="G643" s="84">
        <v>58941674</v>
      </c>
      <c r="H643" s="9"/>
      <c r="I643" s="50"/>
      <c r="J643" s="35"/>
    </row>
    <row r="644" spans="2:14" ht="14.45" hidden="1" outlineLevel="2">
      <c r="B644" s="115"/>
      <c r="C644" s="9"/>
      <c r="D644" s="9"/>
      <c r="E644" s="9"/>
      <c r="F644" s="9"/>
      <c r="G644" s="9"/>
      <c r="H644" s="9"/>
      <c r="I644" s="50"/>
      <c r="J644" s="35"/>
    </row>
    <row r="645" spans="2:14" ht="15" hidden="1" customHeight="1" outlineLevel="2">
      <c r="B645" s="115"/>
      <c r="C645" s="9"/>
      <c r="D645" s="9"/>
      <c r="E645" s="9"/>
      <c r="F645" s="81" t="s">
        <v>247</v>
      </c>
      <c r="G645" s="476" t="s">
        <v>97</v>
      </c>
      <c r="H645" s="508"/>
      <c r="I645" s="50"/>
      <c r="J645" s="35"/>
    </row>
    <row r="646" spans="2:14" ht="14.45" hidden="1" outlineLevel="2">
      <c r="B646" s="115"/>
      <c r="C646" s="114"/>
      <c r="D646" s="114"/>
      <c r="E646" s="114"/>
      <c r="F646" s="9"/>
      <c r="G646" s="9"/>
      <c r="H646" s="9"/>
      <c r="I646" s="50"/>
      <c r="J646" s="116"/>
    </row>
    <row r="647" spans="2:14" ht="15" hidden="1" customHeight="1" outlineLevel="2">
      <c r="B647" s="23"/>
      <c r="C647" s="9"/>
      <c r="D647" s="146"/>
      <c r="E647" s="146"/>
      <c r="F647" s="325" t="str">
        <f>IF(G645="&lt; enter time taken &gt;","",G645&amp;" minutes must be entered on the KPI sheet as")</f>
        <v/>
      </c>
      <c r="G647" s="476" t="str">
        <f>IF(G645="&lt; enter time taken &gt;","","ONGOING GENERAL QUERIES &amp; REPLIES activities.")</f>
        <v/>
      </c>
      <c r="H647" s="529"/>
      <c r="I647" s="50"/>
      <c r="J647" s="26"/>
      <c r="K647" s="127"/>
    </row>
    <row r="648" spans="2:14" ht="14.45" hidden="1" outlineLevel="2">
      <c r="B648" s="115"/>
      <c r="C648" s="9"/>
      <c r="D648" s="9"/>
      <c r="E648" s="9"/>
      <c r="F648" s="9"/>
      <c r="G648" s="9"/>
      <c r="H648" s="9"/>
      <c r="I648" s="50"/>
      <c r="J648" s="35"/>
    </row>
    <row r="649" spans="2:14" s="45" customFormat="1" ht="15" hidden="1" customHeight="1" outlineLevel="2">
      <c r="B649" s="115"/>
      <c r="C649" s="114"/>
      <c r="D649" s="114"/>
      <c r="E649" s="114"/>
      <c r="F649" s="81" t="s">
        <v>244</v>
      </c>
      <c r="G649" s="492" t="s">
        <v>135</v>
      </c>
      <c r="H649" s="534"/>
      <c r="I649" s="50"/>
      <c r="J649" s="26"/>
    </row>
    <row r="650" spans="2:14" s="45" customFormat="1" ht="15" hidden="1" customHeight="1" outlineLevel="2">
      <c r="B650" s="115"/>
      <c r="C650" s="114"/>
      <c r="D650" s="114"/>
      <c r="E650" s="114"/>
      <c r="F650" s="81"/>
      <c r="G650" s="82"/>
      <c r="H650" s="83"/>
      <c r="I650" s="50"/>
      <c r="J650" s="26"/>
    </row>
    <row r="651" spans="2:14" ht="14.45" hidden="1" outlineLevel="2">
      <c r="B651" s="115"/>
      <c r="C651" s="45"/>
      <c r="J651" s="35"/>
    </row>
    <row r="652" spans="2:14" ht="15" hidden="1" customHeight="1" outlineLevel="1" collapsed="1">
      <c r="B652" s="537" t="s">
        <v>269</v>
      </c>
      <c r="C652" s="702"/>
      <c r="D652" s="702"/>
      <c r="E652" s="702"/>
      <c r="F652" s="702"/>
      <c r="G652" s="702"/>
      <c r="H652" s="702"/>
      <c r="I652" s="702"/>
      <c r="J652" s="704"/>
    </row>
    <row r="653" spans="2:14" ht="14.45" hidden="1" outlineLevel="2">
      <c r="B653" s="115"/>
      <c r="C653" s="9"/>
      <c r="D653" s="9"/>
      <c r="E653" s="9"/>
      <c r="F653" s="9"/>
      <c r="G653" s="9"/>
      <c r="H653" s="9"/>
      <c r="I653" s="50"/>
      <c r="J653" s="35"/>
    </row>
    <row r="654" spans="2:14" ht="15" hidden="1" customHeight="1" outlineLevel="2">
      <c r="B654" s="115"/>
      <c r="C654" s="9"/>
      <c r="D654" s="535" t="str">
        <f>IF(G554="rejected","As the appraisal has been rejected then check with Manager Trade Waste if a bill is to be raised.","Click here to complete the Request To Raise Revenue (once the 'RRR' tab is open).")</f>
        <v>Click here to complete the Request To Raise Revenue (once the 'RRR' tab is open).</v>
      </c>
      <c r="E654" s="536"/>
      <c r="F654" s="536"/>
      <c r="G654" s="536"/>
      <c r="H654" s="9"/>
      <c r="I654" s="50"/>
      <c r="J654" s="35"/>
    </row>
    <row r="655" spans="2:14" ht="14.45" hidden="1" outlineLevel="2">
      <c r="B655" s="115"/>
      <c r="C655" s="9"/>
      <c r="D655" s="9"/>
      <c r="E655" s="9"/>
      <c r="F655" s="9"/>
      <c r="G655" s="9"/>
      <c r="H655" s="9"/>
      <c r="I655" s="50"/>
      <c r="J655" s="35"/>
    </row>
    <row r="656" spans="2:14" ht="15" hidden="1" customHeight="1" outlineLevel="2">
      <c r="B656" s="115"/>
      <c r="C656" s="9"/>
      <c r="D656" s="9"/>
      <c r="E656" s="9"/>
      <c r="F656" s="81" t="str">
        <f>IF(G554="rejected","","Time taken for Billing (minutes):")</f>
        <v>Time taken for Billing (minutes):</v>
      </c>
      <c r="G656" s="476" t="str">
        <f>IF(G554="rejected","","&lt; enter time taken &gt;")</f>
        <v>&lt; enter time taken &gt;</v>
      </c>
      <c r="H656" s="508"/>
      <c r="I656" s="50"/>
      <c r="J656" s="35"/>
    </row>
    <row r="657" spans="2:11" ht="14.45" hidden="1" outlineLevel="2">
      <c r="B657" s="115"/>
      <c r="C657" s="114"/>
      <c r="D657" s="114"/>
      <c r="E657" s="114"/>
      <c r="F657" s="9"/>
      <c r="G657" s="9"/>
      <c r="H657" s="9"/>
      <c r="I657" s="50"/>
      <c r="J657" s="116"/>
    </row>
    <row r="658" spans="2:11" ht="15" hidden="1" customHeight="1" outlineLevel="2">
      <c r="B658" s="23"/>
      <c r="C658" s="9"/>
      <c r="D658" s="146"/>
      <c r="E658" s="146"/>
      <c r="F658" s="325" t="str">
        <f>IF(G656="&lt; enter time taken &gt;","",G656&amp;" minutes must be entered on the KPI sheet as a")</f>
        <v/>
      </c>
      <c r="G658" s="476" t="str">
        <f>IF(G656="&lt; enter time taken &gt;","","BILLING activity.")</f>
        <v/>
      </c>
      <c r="H658" s="529"/>
      <c r="I658" s="50"/>
      <c r="J658" s="26"/>
      <c r="K658" s="127"/>
    </row>
    <row r="659" spans="2:11" ht="14.45" hidden="1" outlineLevel="2">
      <c r="B659" s="115"/>
      <c r="C659" s="9"/>
      <c r="D659" s="9"/>
      <c r="E659" s="9"/>
      <c r="F659" s="9"/>
      <c r="G659" s="9"/>
      <c r="H659" s="9"/>
      <c r="I659" s="50"/>
      <c r="J659" s="35"/>
    </row>
    <row r="660" spans="2:11" s="45" customFormat="1" ht="15" hidden="1" customHeight="1" outlineLevel="2">
      <c r="B660" s="115"/>
      <c r="C660" s="114"/>
      <c r="D660" s="114"/>
      <c r="E660" s="114"/>
      <c r="F660" s="81" t="s">
        <v>248</v>
      </c>
      <c r="G660" s="492" t="s">
        <v>135</v>
      </c>
      <c r="H660" s="534"/>
      <c r="I660" s="50"/>
      <c r="J660" s="35"/>
    </row>
    <row r="661" spans="2:11" s="45" customFormat="1" ht="15" hidden="1" customHeight="1" outlineLevel="2">
      <c r="B661" s="115"/>
      <c r="C661" s="114"/>
      <c r="D661" s="114"/>
      <c r="E661" s="114"/>
      <c r="F661" s="81"/>
      <c r="G661" s="82"/>
      <c r="H661" s="83"/>
      <c r="I661" s="50"/>
      <c r="J661" s="35"/>
    </row>
    <row r="662" spans="2:11" ht="14.45" hidden="1" outlineLevel="2">
      <c r="B662" s="28"/>
      <c r="C662" s="30"/>
      <c r="D662" s="36"/>
      <c r="E662" s="36"/>
      <c r="F662" s="36"/>
      <c r="G662" s="36"/>
      <c r="H662" s="36"/>
      <c r="I662" s="36"/>
      <c r="J662" s="37"/>
    </row>
    <row r="663" spans="2:11" hidden="1" outlineLevel="1"/>
    <row r="678" spans="6:6" ht="15">
      <c r="F678" s="104"/>
    </row>
    <row r="679" spans="6:6" ht="15">
      <c r="F679" s="104"/>
    </row>
    <row r="680" spans="6:6" ht="15">
      <c r="F680" s="104"/>
    </row>
    <row r="681" spans="6:6" ht="15">
      <c r="F681" s="104"/>
    </row>
    <row r="682" spans="6:6" ht="15">
      <c r="F682" s="104"/>
    </row>
  </sheetData>
  <mergeCells count="219">
    <mergeCell ref="G636:H636"/>
    <mergeCell ref="C629:C639"/>
    <mergeCell ref="G647:H647"/>
    <mergeCell ref="G658:H658"/>
    <mergeCell ref="G402:H402"/>
    <mergeCell ref="G403:H403"/>
    <mergeCell ref="G431:H431"/>
    <mergeCell ref="G525:H525"/>
    <mergeCell ref="G531:H531"/>
    <mergeCell ref="G557:H557"/>
    <mergeCell ref="G579:H579"/>
    <mergeCell ref="G591:I591"/>
    <mergeCell ref="G429:H429"/>
    <mergeCell ref="G433:H433"/>
    <mergeCell ref="B436:J436"/>
    <mergeCell ref="D437:H437"/>
    <mergeCell ref="G520:H520"/>
    <mergeCell ref="G405:H405"/>
    <mergeCell ref="B408:J408"/>
    <mergeCell ref="G410:H410"/>
    <mergeCell ref="D630:G630"/>
    <mergeCell ref="B3:H3"/>
    <mergeCell ref="G656:H656"/>
    <mergeCell ref="G660:H660"/>
    <mergeCell ref="F366:H366"/>
    <mergeCell ref="F367:H367"/>
    <mergeCell ref="B641:J641"/>
    <mergeCell ref="G645:H645"/>
    <mergeCell ref="G649:H649"/>
    <mergeCell ref="B652:J652"/>
    <mergeCell ref="D654:G654"/>
    <mergeCell ref="B628:J628"/>
    <mergeCell ref="G634:H634"/>
    <mergeCell ref="G638:H638"/>
    <mergeCell ref="G610:H610"/>
    <mergeCell ref="B613:J613"/>
    <mergeCell ref="D615:F615"/>
    <mergeCell ref="G621:H621"/>
    <mergeCell ref="G625:H625"/>
    <mergeCell ref="G599:H599"/>
    <mergeCell ref="G600:H600"/>
    <mergeCell ref="G601:H601"/>
    <mergeCell ref="G533:H533"/>
    <mergeCell ref="E539:F539"/>
    <mergeCell ref="G608:H608"/>
    <mergeCell ref="K553:R553"/>
    <mergeCell ref="G555:H555"/>
    <mergeCell ref="L555:Y555"/>
    <mergeCell ref="G559:H559"/>
    <mergeCell ref="B562:J562"/>
    <mergeCell ref="K547:R547"/>
    <mergeCell ref="K548:R548"/>
    <mergeCell ref="K549:R549"/>
    <mergeCell ref="K550:R550"/>
    <mergeCell ref="K551:U552"/>
    <mergeCell ref="L604:Y606"/>
    <mergeCell ref="G605:H605"/>
    <mergeCell ref="G606:H606"/>
    <mergeCell ref="L587:Y589"/>
    <mergeCell ref="G588:H588"/>
    <mergeCell ref="G589:H589"/>
    <mergeCell ref="G593:H593"/>
    <mergeCell ref="B596:J596"/>
    <mergeCell ref="G575:H575"/>
    <mergeCell ref="G576:H576"/>
    <mergeCell ref="G577:H577"/>
    <mergeCell ref="G581:H581"/>
    <mergeCell ref="B584:J584"/>
    <mergeCell ref="K418:R418"/>
    <mergeCell ref="K426:U427"/>
    <mergeCell ref="L398:Z401"/>
    <mergeCell ref="K395:U396"/>
    <mergeCell ref="G398:H398"/>
    <mergeCell ref="G399:H399"/>
    <mergeCell ref="B382:J382"/>
    <mergeCell ref="K382:Y383"/>
    <mergeCell ref="E383:F383"/>
    <mergeCell ref="K394:R394"/>
    <mergeCell ref="G400:H400"/>
    <mergeCell ref="C385:C396"/>
    <mergeCell ref="K545:R545"/>
    <mergeCell ref="K546:R546"/>
    <mergeCell ref="G521:H521"/>
    <mergeCell ref="G522:H522"/>
    <mergeCell ref="G523:H523"/>
    <mergeCell ref="G527:H527"/>
    <mergeCell ref="G528:H528"/>
    <mergeCell ref="G529:H529"/>
    <mergeCell ref="L521:Z523"/>
    <mergeCell ref="L527:Z529"/>
    <mergeCell ref="B536:J536"/>
    <mergeCell ref="L170:Z172"/>
    <mergeCell ref="B359:J359"/>
    <mergeCell ref="K243:U244"/>
    <mergeCell ref="L266:Y268"/>
    <mergeCell ref="K196:U197"/>
    <mergeCell ref="K221:U222"/>
    <mergeCell ref="K241:R241"/>
    <mergeCell ref="K188:R188"/>
    <mergeCell ref="K218:R218"/>
    <mergeCell ref="L199:Z201"/>
    <mergeCell ref="L224:Z226"/>
    <mergeCell ref="L278:Z280"/>
    <mergeCell ref="G226:H226"/>
    <mergeCell ref="G230:H230"/>
    <mergeCell ref="G225:H225"/>
    <mergeCell ref="B233:J233"/>
    <mergeCell ref="G228:H228"/>
    <mergeCell ref="C320:C332"/>
    <mergeCell ref="G340:H340"/>
    <mergeCell ref="B319:J319"/>
    <mergeCell ref="G290:H290"/>
    <mergeCell ref="G291:H291"/>
    <mergeCell ref="B287:J287"/>
    <mergeCell ref="L295:Z297"/>
    <mergeCell ref="L176:Z178"/>
    <mergeCell ref="G379:H379"/>
    <mergeCell ref="H383:I383"/>
    <mergeCell ref="H384:I396"/>
    <mergeCell ref="G377:H377"/>
    <mergeCell ref="K32:Y33"/>
    <mergeCell ref="D86:H86"/>
    <mergeCell ref="G82:H82"/>
    <mergeCell ref="K40:R40"/>
    <mergeCell ref="K49:R49"/>
    <mergeCell ref="K58:R58"/>
    <mergeCell ref="K67:R67"/>
    <mergeCell ref="K77:U78"/>
    <mergeCell ref="K68:U69"/>
    <mergeCell ref="K59:U60"/>
    <mergeCell ref="K50:U51"/>
    <mergeCell ref="K41:U42"/>
    <mergeCell ref="G297:H297"/>
    <mergeCell ref="G312:H312"/>
    <mergeCell ref="D306:F306"/>
    <mergeCell ref="G301:H301"/>
    <mergeCell ref="G292:H292"/>
    <mergeCell ref="B304:J304"/>
    <mergeCell ref="B255:J255"/>
    <mergeCell ref="B7:J7"/>
    <mergeCell ref="B32:J32"/>
    <mergeCell ref="E216:F216"/>
    <mergeCell ref="G205:H205"/>
    <mergeCell ref="E33:F33"/>
    <mergeCell ref="B85:J85"/>
    <mergeCell ref="B185:J185"/>
    <mergeCell ref="F18:G18"/>
    <mergeCell ref="C10:G10"/>
    <mergeCell ref="B208:J208"/>
    <mergeCell ref="G169:H169"/>
    <mergeCell ref="G170:H170"/>
    <mergeCell ref="G172:H172"/>
    <mergeCell ref="C21:E21"/>
    <mergeCell ref="G176:H176"/>
    <mergeCell ref="C35:C42"/>
    <mergeCell ref="C44:C51"/>
    <mergeCell ref="C53:C60"/>
    <mergeCell ref="C62:C69"/>
    <mergeCell ref="C71:C78"/>
    <mergeCell ref="G177:H177"/>
    <mergeCell ref="G200:H200"/>
    <mergeCell ref="C20:E20"/>
    <mergeCell ref="G199:H199"/>
    <mergeCell ref="F370:G370"/>
    <mergeCell ref="G201:H201"/>
    <mergeCell ref="G316:H316"/>
    <mergeCell ref="G296:H296"/>
    <mergeCell ref="G353:H353"/>
    <mergeCell ref="G342:H342"/>
    <mergeCell ref="G327:H327"/>
    <mergeCell ref="G331:H331"/>
    <mergeCell ref="G338:H338"/>
    <mergeCell ref="B345:J345"/>
    <mergeCell ref="G349:H349"/>
    <mergeCell ref="D321:G321"/>
    <mergeCell ref="G351:H351"/>
    <mergeCell ref="G250:H250"/>
    <mergeCell ref="G272:H272"/>
    <mergeCell ref="G267:H267"/>
    <mergeCell ref="G247:H247"/>
    <mergeCell ref="G182:H182"/>
    <mergeCell ref="G210:H210"/>
    <mergeCell ref="G178:H178"/>
    <mergeCell ref="G171:H171"/>
    <mergeCell ref="G23:H23"/>
    <mergeCell ref="C23:F23"/>
    <mergeCell ref="G280:H280"/>
    <mergeCell ref="G284:H284"/>
    <mergeCell ref="G279:H279"/>
    <mergeCell ref="E235:F235"/>
    <mergeCell ref="G252:H252"/>
    <mergeCell ref="G266:H266"/>
    <mergeCell ref="B275:J275"/>
    <mergeCell ref="G248:H248"/>
    <mergeCell ref="G268:H268"/>
    <mergeCell ref="C373:E373"/>
    <mergeCell ref="G623:H623"/>
    <mergeCell ref="G27:H27"/>
    <mergeCell ref="G80:H80"/>
    <mergeCell ref="G174:H174"/>
    <mergeCell ref="G180:H180"/>
    <mergeCell ref="G203:H203"/>
    <mergeCell ref="H33:I33"/>
    <mergeCell ref="H34:I42"/>
    <mergeCell ref="H43:I51"/>
    <mergeCell ref="H52:I60"/>
    <mergeCell ref="H61:I69"/>
    <mergeCell ref="H70:I78"/>
    <mergeCell ref="G29:H29"/>
    <mergeCell ref="D347:G347"/>
    <mergeCell ref="B334:J334"/>
    <mergeCell ref="G224:H224"/>
    <mergeCell ref="C362:G362"/>
    <mergeCell ref="C372:E372"/>
    <mergeCell ref="G270:H270"/>
    <mergeCell ref="G282:I282"/>
    <mergeCell ref="G299:H299"/>
    <mergeCell ref="G314:H314"/>
    <mergeCell ref="G329:H329"/>
  </mergeCells>
  <conditionalFormatting sqref="F240">
    <cfRule type="cellIs" dxfId="906" priority="1533" operator="equal">
      <formula>"I approve the final recommendation made by the Review Team, but with the following conditions:"</formula>
    </cfRule>
    <cfRule type="cellIs" dxfId="905" priority="1534" operator="equal">
      <formula>"I approve the final recommendation made by the Review Team."</formula>
    </cfRule>
    <cfRule type="cellIs" dxfId="904" priority="1535" operator="equal">
      <formula>"I reject the final recommendation made by the Review Team."</formula>
    </cfRule>
  </conditionalFormatting>
  <conditionalFormatting sqref="D241:D244 F241:F244">
    <cfRule type="cellIs" dxfId="903" priority="1532" operator="equal">
      <formula>"&lt; delete this whole line! &gt;"</formula>
    </cfRule>
  </conditionalFormatting>
  <conditionalFormatting sqref="F290:F293">
    <cfRule type="cellIs" dxfId="902" priority="1529" operator="equal">
      <formula>"Certificate not required as application has been rejected."</formula>
    </cfRule>
  </conditionalFormatting>
  <conditionalFormatting sqref="F18">
    <cfRule type="cellIs" dxfId="901" priority="1523" operator="equal">
      <formula>"no"</formula>
    </cfRule>
    <cfRule type="cellIs" dxfId="900" priority="1524" operator="equal">
      <formula>"yes"</formula>
    </cfRule>
  </conditionalFormatting>
  <conditionalFormatting sqref="G241:H244">
    <cfRule type="cellIs" dxfId="899" priority="1516" operator="equal">
      <formula>"&lt; delete this whole line! &gt;"</formula>
    </cfRule>
  </conditionalFormatting>
  <conditionalFormatting sqref="E12:F12 F13:F16">
    <cfRule type="cellIs" dxfId="898" priority="1494" operator="equal">
      <formula>#REF!</formula>
    </cfRule>
    <cfRule type="cellIs" dxfId="897" priority="1495" operator="equal">
      <formula>$H$4</formula>
    </cfRule>
    <cfRule type="cellIs" dxfId="896" priority="1496" operator="equal">
      <formula>$G$5</formula>
    </cfRule>
    <cfRule type="cellIs" dxfId="895" priority="1497" operator="equal">
      <formula>#REF!</formula>
    </cfRule>
    <cfRule type="cellIs" dxfId="894" priority="1498" operator="equal">
      <formula>#REF!</formula>
    </cfRule>
    <cfRule type="cellIs" dxfId="893" priority="1499" operator="equal">
      <formula>#REF!</formula>
    </cfRule>
    <cfRule type="cellIs" dxfId="892" priority="1500" operator="equal">
      <formula>$G$4</formula>
    </cfRule>
  </conditionalFormatting>
  <conditionalFormatting sqref="G246">
    <cfRule type="cellIs" dxfId="891" priority="1492" operator="equal">
      <formula>"rejected"</formula>
    </cfRule>
    <cfRule type="cellIs" dxfId="890" priority="1493" operator="equal">
      <formula>"approved"</formula>
    </cfRule>
  </conditionalFormatting>
  <conditionalFormatting sqref="K68">
    <cfRule type="cellIs" dxfId="889" priority="1483" operator="equal">
      <formula>#REF!</formula>
    </cfRule>
    <cfRule type="cellIs" dxfId="888" priority="1484" operator="equal">
      <formula>$H$4</formula>
    </cfRule>
    <cfRule type="cellIs" dxfId="887" priority="1485" operator="equal">
      <formula>$G$5</formula>
    </cfRule>
    <cfRule type="cellIs" dxfId="886" priority="1486" operator="equal">
      <formula>#REF!</formula>
    </cfRule>
    <cfRule type="cellIs" dxfId="885" priority="1487" operator="equal">
      <formula>#REF!</formula>
    </cfRule>
    <cfRule type="cellIs" dxfId="884" priority="1488" operator="equal">
      <formula>#REF!</formula>
    </cfRule>
    <cfRule type="cellIs" dxfId="883" priority="1489" operator="equal">
      <formula>$G$4</formula>
    </cfRule>
  </conditionalFormatting>
  <conditionalFormatting sqref="K59">
    <cfRule type="cellIs" dxfId="882" priority="1476" operator="equal">
      <formula>#REF!</formula>
    </cfRule>
    <cfRule type="cellIs" dxfId="881" priority="1477" operator="equal">
      <formula>$H$4</formula>
    </cfRule>
    <cfRule type="cellIs" dxfId="880" priority="1478" operator="equal">
      <formula>$G$5</formula>
    </cfRule>
    <cfRule type="cellIs" dxfId="879" priority="1479" operator="equal">
      <formula>#REF!</formula>
    </cfRule>
    <cfRule type="cellIs" dxfId="878" priority="1480" operator="equal">
      <formula>#REF!</formula>
    </cfRule>
    <cfRule type="cellIs" dxfId="877" priority="1481" operator="equal">
      <formula>#REF!</formula>
    </cfRule>
    <cfRule type="cellIs" dxfId="876" priority="1482" operator="equal">
      <formula>$G$4</formula>
    </cfRule>
  </conditionalFormatting>
  <conditionalFormatting sqref="K50">
    <cfRule type="cellIs" dxfId="875" priority="1469" operator="equal">
      <formula>#REF!</formula>
    </cfRule>
    <cfRule type="cellIs" dxfId="874" priority="1470" operator="equal">
      <formula>$H$4</formula>
    </cfRule>
    <cfRule type="cellIs" dxfId="873" priority="1471" operator="equal">
      <formula>$G$5</formula>
    </cfRule>
    <cfRule type="cellIs" dxfId="872" priority="1472" operator="equal">
      <formula>#REF!</formula>
    </cfRule>
    <cfRule type="cellIs" dxfId="871" priority="1473" operator="equal">
      <formula>#REF!</formula>
    </cfRule>
    <cfRule type="cellIs" dxfId="870" priority="1474" operator="equal">
      <formula>#REF!</formula>
    </cfRule>
    <cfRule type="cellIs" dxfId="869" priority="1475" operator="equal">
      <formula>$G$4</formula>
    </cfRule>
  </conditionalFormatting>
  <conditionalFormatting sqref="K41">
    <cfRule type="cellIs" dxfId="868" priority="1462" operator="equal">
      <formula>#REF!</formula>
    </cfRule>
    <cfRule type="cellIs" dxfId="867" priority="1463" operator="equal">
      <formula>$H$4</formula>
    </cfRule>
    <cfRule type="cellIs" dxfId="866" priority="1464" operator="equal">
      <formula>$G$5</formula>
    </cfRule>
    <cfRule type="cellIs" dxfId="865" priority="1465" operator="equal">
      <formula>#REF!</formula>
    </cfRule>
    <cfRule type="cellIs" dxfId="864" priority="1466" operator="equal">
      <formula>#REF!</formula>
    </cfRule>
    <cfRule type="cellIs" dxfId="863" priority="1467" operator="equal">
      <formula>#REF!</formula>
    </cfRule>
    <cfRule type="cellIs" dxfId="862" priority="1468" operator="equal">
      <formula>$G$4</formula>
    </cfRule>
  </conditionalFormatting>
  <conditionalFormatting sqref="K176:L176">
    <cfRule type="cellIs" dxfId="861" priority="1455" operator="equal">
      <formula>#REF!</formula>
    </cfRule>
    <cfRule type="cellIs" dxfId="860" priority="1456" operator="equal">
      <formula>$H$4</formula>
    </cfRule>
    <cfRule type="cellIs" dxfId="859" priority="1457" operator="equal">
      <formula>$G$5</formula>
    </cfRule>
    <cfRule type="cellIs" dxfId="858" priority="1458" operator="equal">
      <formula>#REF!</formula>
    </cfRule>
    <cfRule type="cellIs" dxfId="857" priority="1459" operator="equal">
      <formula>#REF!</formula>
    </cfRule>
    <cfRule type="cellIs" dxfId="856" priority="1460" operator="equal">
      <formula>#REF!</formula>
    </cfRule>
    <cfRule type="cellIs" dxfId="855" priority="1461" operator="equal">
      <formula>$G$4</formula>
    </cfRule>
  </conditionalFormatting>
  <conditionalFormatting sqref="K196">
    <cfRule type="cellIs" dxfId="854" priority="1448" operator="equal">
      <formula>#REF!</formula>
    </cfRule>
    <cfRule type="cellIs" dxfId="853" priority="1449" operator="equal">
      <formula>$H$4</formula>
    </cfRule>
    <cfRule type="cellIs" dxfId="852" priority="1450" operator="equal">
      <formula>$G$5</formula>
    </cfRule>
    <cfRule type="cellIs" dxfId="851" priority="1451" operator="equal">
      <formula>#REF!</formula>
    </cfRule>
    <cfRule type="cellIs" dxfId="850" priority="1452" operator="equal">
      <formula>#REF!</formula>
    </cfRule>
    <cfRule type="cellIs" dxfId="849" priority="1453" operator="equal">
      <formula>#REF!</formula>
    </cfRule>
    <cfRule type="cellIs" dxfId="848" priority="1454" operator="equal">
      <formula>$G$4</formula>
    </cfRule>
  </conditionalFormatting>
  <conditionalFormatting sqref="K199:L199">
    <cfRule type="cellIs" dxfId="847" priority="1441" operator="equal">
      <formula>#REF!</formula>
    </cfRule>
    <cfRule type="cellIs" dxfId="846" priority="1442" operator="equal">
      <formula>$H$4</formula>
    </cfRule>
    <cfRule type="cellIs" dxfId="845" priority="1443" operator="equal">
      <formula>$G$5</formula>
    </cfRule>
    <cfRule type="cellIs" dxfId="844" priority="1444" operator="equal">
      <formula>#REF!</formula>
    </cfRule>
    <cfRule type="cellIs" dxfId="843" priority="1445" operator="equal">
      <formula>#REF!</formula>
    </cfRule>
    <cfRule type="cellIs" dxfId="842" priority="1446" operator="equal">
      <formula>#REF!</formula>
    </cfRule>
    <cfRule type="cellIs" dxfId="841" priority="1447" operator="equal">
      <formula>$G$4</formula>
    </cfRule>
  </conditionalFormatting>
  <conditionalFormatting sqref="K221">
    <cfRule type="cellIs" dxfId="840" priority="1434" operator="equal">
      <formula>#REF!</formula>
    </cfRule>
    <cfRule type="cellIs" dxfId="839" priority="1435" operator="equal">
      <formula>$H$4</formula>
    </cfRule>
    <cfRule type="cellIs" dxfId="838" priority="1436" operator="equal">
      <formula>$G$5</formula>
    </cfRule>
    <cfRule type="cellIs" dxfId="837" priority="1437" operator="equal">
      <formula>#REF!</formula>
    </cfRule>
    <cfRule type="cellIs" dxfId="836" priority="1438" operator="equal">
      <formula>#REF!</formula>
    </cfRule>
    <cfRule type="cellIs" dxfId="835" priority="1439" operator="equal">
      <formula>#REF!</formula>
    </cfRule>
    <cfRule type="cellIs" dxfId="834" priority="1440" operator="equal">
      <formula>$G$4</formula>
    </cfRule>
  </conditionalFormatting>
  <conditionalFormatting sqref="K224:L224">
    <cfRule type="cellIs" dxfId="833" priority="1427" operator="equal">
      <formula>#REF!</formula>
    </cfRule>
    <cfRule type="cellIs" dxfId="832" priority="1428" operator="equal">
      <formula>$H$4</formula>
    </cfRule>
    <cfRule type="cellIs" dxfId="831" priority="1429" operator="equal">
      <formula>$G$5</formula>
    </cfRule>
    <cfRule type="cellIs" dxfId="830" priority="1430" operator="equal">
      <formula>#REF!</formula>
    </cfRule>
    <cfRule type="cellIs" dxfId="829" priority="1431" operator="equal">
      <formula>#REF!</formula>
    </cfRule>
    <cfRule type="cellIs" dxfId="828" priority="1432" operator="equal">
      <formula>#REF!</formula>
    </cfRule>
    <cfRule type="cellIs" dxfId="827" priority="1433" operator="equal">
      <formula>$G$4</formula>
    </cfRule>
  </conditionalFormatting>
  <conditionalFormatting sqref="K243">
    <cfRule type="cellIs" dxfId="826" priority="1420" operator="equal">
      <formula>#REF!</formula>
    </cfRule>
    <cfRule type="cellIs" dxfId="825" priority="1421" operator="equal">
      <formula>$H$4</formula>
    </cfRule>
    <cfRule type="cellIs" dxfId="824" priority="1422" operator="equal">
      <formula>$G$5</formula>
    </cfRule>
    <cfRule type="cellIs" dxfId="823" priority="1423" operator="equal">
      <formula>#REF!</formula>
    </cfRule>
    <cfRule type="cellIs" dxfId="822" priority="1424" operator="equal">
      <formula>#REF!</formula>
    </cfRule>
    <cfRule type="cellIs" dxfId="821" priority="1425" operator="equal">
      <formula>#REF!</formula>
    </cfRule>
    <cfRule type="cellIs" dxfId="820" priority="1426" operator="equal">
      <formula>$G$4</formula>
    </cfRule>
  </conditionalFormatting>
  <conditionalFormatting sqref="K267:K268">
    <cfRule type="cellIs" dxfId="819" priority="1413" operator="equal">
      <formula>#REF!</formula>
    </cfRule>
    <cfRule type="cellIs" dxfId="818" priority="1414" operator="equal">
      <formula>$H$4</formula>
    </cfRule>
    <cfRule type="cellIs" dxfId="817" priority="1415" operator="equal">
      <formula>$G$5</formula>
    </cfRule>
    <cfRule type="cellIs" dxfId="816" priority="1416" operator="equal">
      <formula>#REF!</formula>
    </cfRule>
    <cfRule type="cellIs" dxfId="815" priority="1417" operator="equal">
      <formula>#REF!</formula>
    </cfRule>
    <cfRule type="cellIs" dxfId="814" priority="1418" operator="equal">
      <formula>#REF!</formula>
    </cfRule>
    <cfRule type="cellIs" dxfId="813" priority="1419" operator="equal">
      <formula>$G$4</formula>
    </cfRule>
  </conditionalFormatting>
  <conditionalFormatting sqref="K278:L278">
    <cfRule type="cellIs" dxfId="812" priority="1406" operator="equal">
      <formula>#REF!</formula>
    </cfRule>
    <cfRule type="cellIs" dxfId="811" priority="1407" operator="equal">
      <formula>$H$4</formula>
    </cfRule>
    <cfRule type="cellIs" dxfId="810" priority="1408" operator="equal">
      <formula>$G$5</formula>
    </cfRule>
    <cfRule type="cellIs" dxfId="809" priority="1409" operator="equal">
      <formula>#REF!</formula>
    </cfRule>
    <cfRule type="cellIs" dxfId="808" priority="1410" operator="equal">
      <formula>#REF!</formula>
    </cfRule>
    <cfRule type="cellIs" dxfId="807" priority="1411" operator="equal">
      <formula>#REF!</formula>
    </cfRule>
    <cfRule type="cellIs" dxfId="806" priority="1412" operator="equal">
      <formula>$G$4</formula>
    </cfRule>
  </conditionalFormatting>
  <conditionalFormatting sqref="K295:L295">
    <cfRule type="cellIs" dxfId="805" priority="1399" operator="equal">
      <formula>#REF!</formula>
    </cfRule>
    <cfRule type="cellIs" dxfId="804" priority="1400" operator="equal">
      <formula>$H$4</formula>
    </cfRule>
    <cfRule type="cellIs" dxfId="803" priority="1401" operator="equal">
      <formula>$G$5</formula>
    </cfRule>
    <cfRule type="cellIs" dxfId="802" priority="1402" operator="equal">
      <formula>#REF!</formula>
    </cfRule>
    <cfRule type="cellIs" dxfId="801" priority="1403" operator="equal">
      <formula>#REF!</formula>
    </cfRule>
    <cfRule type="cellIs" dxfId="800" priority="1404" operator="equal">
      <formula>#REF!</formula>
    </cfRule>
    <cfRule type="cellIs" dxfId="799" priority="1405" operator="equal">
      <formula>$G$4</formula>
    </cfRule>
  </conditionalFormatting>
  <conditionalFormatting sqref="F5:F6">
    <cfRule type="cellIs" dxfId="798" priority="1385" operator="equal">
      <formula>#REF!</formula>
    </cfRule>
    <cfRule type="cellIs" dxfId="797" priority="1386" operator="equal">
      <formula>$H$4</formula>
    </cfRule>
    <cfRule type="cellIs" dxfId="796" priority="1387" operator="equal">
      <formula>$G$5</formula>
    </cfRule>
    <cfRule type="cellIs" dxfId="795" priority="1388" operator="equal">
      <formula>#REF!</formula>
    </cfRule>
    <cfRule type="cellIs" dxfId="794" priority="1389" operator="equal">
      <formula>#REF!</formula>
    </cfRule>
    <cfRule type="cellIs" dxfId="793" priority="1390" operator="equal">
      <formula>#REF!</formula>
    </cfRule>
    <cfRule type="cellIs" dxfId="792" priority="1391" operator="equal">
      <formula>$G$4</formula>
    </cfRule>
  </conditionalFormatting>
  <conditionalFormatting sqref="F599:F602">
    <cfRule type="cellIs" dxfId="791" priority="1370" operator="equal">
      <formula>"Certificate not required as application has been rejected."</formula>
    </cfRule>
  </conditionalFormatting>
  <conditionalFormatting sqref="F370">
    <cfRule type="cellIs" dxfId="790" priority="1368" operator="equal">
      <formula>"no"</formula>
    </cfRule>
    <cfRule type="cellIs" dxfId="789" priority="1369" operator="equal">
      <formula>"yes"</formula>
    </cfRule>
  </conditionalFormatting>
  <conditionalFormatting sqref="H564">
    <cfRule type="cellIs" dxfId="788" priority="1360" operator="equal">
      <formula>"Use this template!"</formula>
    </cfRule>
  </conditionalFormatting>
  <conditionalFormatting sqref="F544">
    <cfRule type="cellIs" dxfId="787" priority="1343" operator="equal">
      <formula>"I approve the final recommendation made by the Review Team, but with the following conditions:"</formula>
    </cfRule>
    <cfRule type="cellIs" dxfId="786" priority="1344" operator="equal">
      <formula>"I approve the final recommendation made by the Review Team."</formula>
    </cfRule>
    <cfRule type="cellIs" dxfId="785" priority="1345" operator="equal">
      <formula>"I reject the final recommendation made by the Review Team."</formula>
    </cfRule>
  </conditionalFormatting>
  <conditionalFormatting sqref="D545:D552 F545:F552">
    <cfRule type="cellIs" dxfId="784" priority="1342" operator="equal">
      <formula>"&lt; delete this whole line! &gt;"</formula>
    </cfRule>
  </conditionalFormatting>
  <conditionalFormatting sqref="G545:H552">
    <cfRule type="cellIs" dxfId="783" priority="1341" operator="equal">
      <formula>"&lt; delete this whole line! &gt;"</formula>
    </cfRule>
  </conditionalFormatting>
  <conditionalFormatting sqref="G554">
    <cfRule type="cellIs" dxfId="782" priority="1339" operator="equal">
      <formula>"rejected"</formula>
    </cfRule>
    <cfRule type="cellIs" dxfId="781" priority="1340" operator="equal">
      <formula>"approved"</formula>
    </cfRule>
  </conditionalFormatting>
  <conditionalFormatting sqref="A532:XFD535 A527:J529 AA527:XFD529 A526:XFD526 A521:J523 AA521:XFD523 G539:H539 A538:B542 D540:H542 D538:H538 D539:E539 A640:M640 A628:XFD628 D632:F632 H632:H633 H417 A436:XFD437 A519:XFD519 J538:XFD542 A637:B639 J637:L639 D637:H639 A520:F520 I520:XFD520 O637:XFD640 N629:XFD629 D629:H629 D631:H631 D630:F630 H630 D633:E633 D634:H634 O630:XFD634 A629:B634 J629:L634">
    <cfRule type="cellIs" dxfId="780" priority="1371" operator="equal">
      <formula>#REF!</formula>
    </cfRule>
    <cfRule type="cellIs" dxfId="779" priority="1372" operator="equal">
      <formula>$H$4</formula>
    </cfRule>
    <cfRule type="cellIs" dxfId="778" priority="1373" operator="equal">
      <formula>$G$5</formula>
    </cfRule>
    <cfRule type="cellIs" dxfId="777" priority="1374" operator="equal">
      <formula>#REF!</formula>
    </cfRule>
    <cfRule type="cellIs" dxfId="776" priority="1375" operator="equal">
      <formula>#REF!</formula>
    </cfRule>
    <cfRule type="cellIs" dxfId="775" priority="1376" operator="equal">
      <formula>#REF!</formula>
    </cfRule>
    <cfRule type="cellIs" dxfId="774" priority="1377" operator="equal">
      <formula>$G$4</formula>
    </cfRule>
  </conditionalFormatting>
  <conditionalFormatting sqref="F87">
    <cfRule type="cellIs" dxfId="773" priority="1209" operator="equal">
      <formula>#REF!</formula>
    </cfRule>
    <cfRule type="cellIs" dxfId="772" priority="1210" operator="equal">
      <formula>$H$4</formula>
    </cfRule>
    <cfRule type="cellIs" dxfId="771" priority="1211" operator="equal">
      <formula>$G$5</formula>
    </cfRule>
    <cfRule type="cellIs" dxfId="770" priority="1212" operator="equal">
      <formula>#REF!</formula>
    </cfRule>
    <cfRule type="cellIs" dxfId="769" priority="1213" operator="equal">
      <formula>#REF!</formula>
    </cfRule>
    <cfRule type="cellIs" dxfId="768" priority="1214" operator="equal">
      <formula>#REF!</formula>
    </cfRule>
    <cfRule type="cellIs" dxfId="767" priority="1215" operator="equal">
      <formula>$G$4</formula>
    </cfRule>
  </conditionalFormatting>
  <conditionalFormatting sqref="G632 J365:XFD373">
    <cfRule type="cellIs" dxfId="766" priority="1216" operator="equal">
      <formula>#REF!</formula>
    </cfRule>
    <cfRule type="cellIs" dxfId="765" priority="1217" operator="equal">
      <formula>#REF!</formula>
    </cfRule>
    <cfRule type="cellIs" dxfId="764" priority="1218" operator="equal">
      <formula>#REF!</formula>
    </cfRule>
    <cfRule type="cellIs" dxfId="763" priority="1219" operator="equal">
      <formula>#REF!</formula>
    </cfRule>
    <cfRule type="cellIs" dxfId="762" priority="1220" operator="equal">
      <formula>#REF!</formula>
    </cfRule>
    <cfRule type="cellIs" dxfId="761" priority="1221" operator="equal">
      <formula>#REF!</formula>
    </cfRule>
    <cfRule type="cellIs" dxfId="760" priority="1222" operator="equal">
      <formula>#REF!</formula>
    </cfRule>
  </conditionalFormatting>
  <conditionalFormatting sqref="F438">
    <cfRule type="cellIs" dxfId="759" priority="1014" operator="equal">
      <formula>#REF!</formula>
    </cfRule>
    <cfRule type="cellIs" dxfId="758" priority="1015" operator="equal">
      <formula>$H$4</formula>
    </cfRule>
    <cfRule type="cellIs" dxfId="757" priority="1016" operator="equal">
      <formula>$G$5</formula>
    </cfRule>
    <cfRule type="cellIs" dxfId="756" priority="1017" operator="equal">
      <formula>#REF!</formula>
    </cfRule>
    <cfRule type="cellIs" dxfId="755" priority="1018" operator="equal">
      <formula>#REF!</formula>
    </cfRule>
    <cfRule type="cellIs" dxfId="754" priority="1019" operator="equal">
      <formula>#REF!</formula>
    </cfRule>
    <cfRule type="cellIs" dxfId="753" priority="1020" operator="equal">
      <formula>$G$4</formula>
    </cfRule>
  </conditionalFormatting>
  <conditionalFormatting sqref="H362 A362:C362 A370:B370 E370:F370 H370 A363:H363 A365:E365 A364:D364 P364:XFD364 L573:N573 A371:H371 A381:XFD381 A655:H656 H654 J364 A405:E406 A428:H430 A536:XFD536 A359:XFD360 C538:C542 A621:H621 A615:C619 H615:H619 A583:XFD584 A612:XFD613 Z604:XFD606 Z587:XFD589 A561:XFD562 V551:XFD552 V426:XFD427 V395:XFD396 A382:J382 Z382:XFD383 N397:XFD397 AA398:XFD401 K419:XFD425 J419:J427 A543:H555 Z555:XFD555 A564:C565 D564:H564 A654:D654 A641:M641 A368:H369 A407:XFD408 A417:G417 A418:F427 A601:H602 A566:E573 J576:XFD577 J566:XFD569 J573 J575 A575:E577 L575:N575 A386:B396 D386:G396 G365:H365 A372:E373 G372:H373 J395:J396 A385:G385 A366:F367 A361:H361 J361:XFD363 J374:XFD375 J378:XFD378 A378:H378 A383:H384 J383 J384:XFD394 A397:L397 A398:J401 G405:XFD406 A435:XFD435 A409:H416 J409:XFD418 J428:XFD430 A433:H434 J433:XFD434 J555:K555 J553:XFD554 J551:J552 J543:XFD550 A537:H537 J537:XFD537 A558:H560 J558:XFD560 A580:E581 A563:H563 J563:XFD564 A582:H582 J580:XFD582 J587:J589 A585:H585 J585:XFD586 A592:XFD596 A597:H597 J597:XFD603 J604:J606 A609:H611 J609:XFD611 A627:XFD627 A614:H614 J614:XFD616 J621:M621 A624:H626 J624:XFD626 A651:XFD652 A642:H645 J643:XFD645 A648:H650 J648:XFD650 A662:XFD662 A653:H653 J653:XFD656 A659:H661 J659:XFD661 A374:H375 A587:H588 A586:F586 H586 A598:F600 H598 A604:H606 A603:F603 H603 J642:M642 O641:XFD642 O621:XFD621 J617:M619 O617:XFD619 J570:N572 AJ575:XFD575 AJ570:XFD573 O570:AI575 A589:E589">
    <cfRule type="cellIs" dxfId="752" priority="1361" operator="equal">
      <formula>#REF!</formula>
    </cfRule>
    <cfRule type="cellIs" dxfId="751" priority="1362" operator="equal">
      <formula>#REF!</formula>
    </cfRule>
    <cfRule type="cellIs" dxfId="750" priority="1363" operator="equal">
      <formula>#REF!</formula>
    </cfRule>
    <cfRule type="cellIs" dxfId="749" priority="1364" operator="equal">
      <formula>#REF!</formula>
    </cfRule>
    <cfRule type="cellIs" dxfId="748" priority="1365" operator="equal">
      <formula>#REF!</formula>
    </cfRule>
    <cfRule type="cellIs" dxfId="747" priority="1366" operator="equal">
      <formula>#REF!</formula>
    </cfRule>
    <cfRule type="cellIs" dxfId="746" priority="1367" operator="equal">
      <formula>#REF!</formula>
    </cfRule>
  </conditionalFormatting>
  <conditionalFormatting sqref="E364:F364 F365">
    <cfRule type="cellIs" dxfId="745" priority="1353" operator="equal">
      <formula>#REF!</formula>
    </cfRule>
    <cfRule type="cellIs" dxfId="744" priority="1354" operator="equal">
      <formula>#REF!</formula>
    </cfRule>
    <cfRule type="cellIs" dxfId="743" priority="1355" operator="equal">
      <formula>#REF!</formula>
    </cfRule>
    <cfRule type="cellIs" dxfId="742" priority="1356" operator="equal">
      <formula>#REF!</formula>
    </cfRule>
    <cfRule type="cellIs" dxfId="741" priority="1357" operator="equal">
      <formula>#REF!</formula>
    </cfRule>
    <cfRule type="cellIs" dxfId="740" priority="1358" operator="equal">
      <formula>#REF!</formula>
    </cfRule>
    <cfRule type="cellIs" dxfId="739" priority="1359" operator="equal">
      <formula>#REF!</formula>
    </cfRule>
  </conditionalFormatting>
  <conditionalFormatting sqref="F405:F406">
    <cfRule type="cellIs" dxfId="738" priority="1346" operator="equal">
      <formula>#REF!</formula>
    </cfRule>
    <cfRule type="cellIs" dxfId="737" priority="1347" operator="equal">
      <formula>#REF!</formula>
    </cfRule>
    <cfRule type="cellIs" dxfId="736" priority="1348" operator="equal">
      <formula>#REF!</formula>
    </cfRule>
    <cfRule type="cellIs" dxfId="735" priority="1349" operator="equal">
      <formula>#REF!</formula>
    </cfRule>
    <cfRule type="cellIs" dxfId="734" priority="1350" operator="equal">
      <formula>#REF!</formula>
    </cfRule>
    <cfRule type="cellIs" dxfId="733" priority="1351" operator="equal">
      <formula>#REF!</formula>
    </cfRule>
    <cfRule type="cellIs" dxfId="732" priority="1352" operator="equal">
      <formula>#REF!</formula>
    </cfRule>
  </conditionalFormatting>
  <conditionalFormatting sqref="J565:XFD565">
    <cfRule type="cellIs" dxfId="731" priority="1332" operator="equal">
      <formula>#REF!</formula>
    </cfRule>
    <cfRule type="cellIs" dxfId="730" priority="1333" operator="equal">
      <formula>#REF!</formula>
    </cfRule>
    <cfRule type="cellIs" dxfId="729" priority="1334" operator="equal">
      <formula>#REF!</formula>
    </cfRule>
    <cfRule type="cellIs" dxfId="728" priority="1335" operator="equal">
      <formula>#REF!</formula>
    </cfRule>
    <cfRule type="cellIs" dxfId="727" priority="1336" operator="equal">
      <formula>#REF!</formula>
    </cfRule>
    <cfRule type="cellIs" dxfId="726" priority="1337" operator="equal">
      <formula>#REF!</formula>
    </cfRule>
    <cfRule type="cellIs" dxfId="725" priority="1338" operator="equal">
      <formula>#REF!</formula>
    </cfRule>
  </conditionalFormatting>
  <conditionalFormatting sqref="A620:C620 H620 J620:M620 O620:XFD620">
    <cfRule type="cellIs" dxfId="724" priority="1325" operator="equal">
      <formula>#REF!</formula>
    </cfRule>
    <cfRule type="cellIs" dxfId="723" priority="1326" operator="equal">
      <formula>#REF!</formula>
    </cfRule>
    <cfRule type="cellIs" dxfId="722" priority="1327" operator="equal">
      <formula>#REF!</formula>
    </cfRule>
    <cfRule type="cellIs" dxfId="721" priority="1328" operator="equal">
      <formula>#REF!</formula>
    </cfRule>
    <cfRule type="cellIs" dxfId="720" priority="1329" operator="equal">
      <formula>#REF!</formula>
    </cfRule>
    <cfRule type="cellIs" dxfId="719" priority="1330" operator="equal">
      <formula>#REF!</formula>
    </cfRule>
    <cfRule type="cellIs" dxfId="718" priority="1331" operator="equal">
      <formula>#REF!</formula>
    </cfRule>
  </conditionalFormatting>
  <conditionalFormatting sqref="D620:G620">
    <cfRule type="cellIs" dxfId="717" priority="1318" operator="equal">
      <formula>#REF!</formula>
    </cfRule>
    <cfRule type="cellIs" dxfId="716" priority="1319" operator="equal">
      <formula>#REF!</formula>
    </cfRule>
    <cfRule type="cellIs" dxfId="715" priority="1320" operator="equal">
      <formula>#REF!</formula>
    </cfRule>
    <cfRule type="cellIs" dxfId="714" priority="1321" operator="equal">
      <formula>#REF!</formula>
    </cfRule>
    <cfRule type="cellIs" dxfId="713" priority="1322" operator="equal">
      <formula>#REF!</formula>
    </cfRule>
    <cfRule type="cellIs" dxfId="712" priority="1323" operator="equal">
      <formula>#REF!</formula>
    </cfRule>
    <cfRule type="cellIs" dxfId="711" priority="1324" operator="equal">
      <formula>#REF!</formula>
    </cfRule>
  </conditionalFormatting>
  <conditionalFormatting sqref="D615:G619">
    <cfRule type="cellIs" dxfId="710" priority="1311" operator="equal">
      <formula>#REF!</formula>
    </cfRule>
    <cfRule type="cellIs" dxfId="709" priority="1312" operator="equal">
      <formula>#REF!</formula>
    </cfRule>
    <cfRule type="cellIs" dxfId="708" priority="1313" operator="equal">
      <formula>#REF!</formula>
    </cfRule>
    <cfRule type="cellIs" dxfId="707" priority="1314" operator="equal">
      <formula>#REF!</formula>
    </cfRule>
    <cfRule type="cellIs" dxfId="706" priority="1315" operator="equal">
      <formula>#REF!</formula>
    </cfRule>
    <cfRule type="cellIs" dxfId="705" priority="1316" operator="equal">
      <formula>#REF!</formula>
    </cfRule>
    <cfRule type="cellIs" dxfId="704" priority="1317" operator="equal">
      <formula>#REF!</formula>
    </cfRule>
  </conditionalFormatting>
  <conditionalFormatting sqref="K604:L604 K605:K606">
    <cfRule type="cellIs" dxfId="703" priority="1304" operator="equal">
      <formula>#REF!</formula>
    </cfRule>
    <cfRule type="cellIs" dxfId="702" priority="1305" operator="equal">
      <formula>#REF!</formula>
    </cfRule>
    <cfRule type="cellIs" dxfId="701" priority="1306" operator="equal">
      <formula>#REF!</formula>
    </cfRule>
    <cfRule type="cellIs" dxfId="700" priority="1307" operator="equal">
      <formula>#REF!</formula>
    </cfRule>
    <cfRule type="cellIs" dxfId="699" priority="1308" operator="equal">
      <formula>#REF!</formula>
    </cfRule>
    <cfRule type="cellIs" dxfId="698" priority="1309" operator="equal">
      <formula>#REF!</formula>
    </cfRule>
    <cfRule type="cellIs" dxfId="697" priority="1310" operator="equal">
      <formula>#REF!</formula>
    </cfRule>
  </conditionalFormatting>
  <conditionalFormatting sqref="K587:L587 K588:K589">
    <cfRule type="cellIs" dxfId="696" priority="1297" operator="equal">
      <formula>#REF!</formula>
    </cfRule>
    <cfRule type="cellIs" dxfId="695" priority="1298" operator="equal">
      <formula>#REF!</formula>
    </cfRule>
    <cfRule type="cellIs" dxfId="694" priority="1299" operator="equal">
      <formula>#REF!</formula>
    </cfRule>
    <cfRule type="cellIs" dxfId="693" priority="1300" operator="equal">
      <formula>#REF!</formula>
    </cfRule>
    <cfRule type="cellIs" dxfId="692" priority="1301" operator="equal">
      <formula>#REF!</formula>
    </cfRule>
    <cfRule type="cellIs" dxfId="691" priority="1302" operator="equal">
      <formula>#REF!</formula>
    </cfRule>
    <cfRule type="cellIs" dxfId="690" priority="1303" operator="equal">
      <formula>#REF!</formula>
    </cfRule>
  </conditionalFormatting>
  <conditionalFormatting sqref="K551">
    <cfRule type="cellIs" dxfId="689" priority="1290" operator="equal">
      <formula>#REF!</formula>
    </cfRule>
    <cfRule type="cellIs" dxfId="688" priority="1291" operator="equal">
      <formula>#REF!</formula>
    </cfRule>
    <cfRule type="cellIs" dxfId="687" priority="1292" operator="equal">
      <formula>#REF!</formula>
    </cfRule>
    <cfRule type="cellIs" dxfId="686" priority="1293" operator="equal">
      <formula>#REF!</formula>
    </cfRule>
    <cfRule type="cellIs" dxfId="685" priority="1294" operator="equal">
      <formula>#REF!</formula>
    </cfRule>
    <cfRule type="cellIs" dxfId="684" priority="1295" operator="equal">
      <formula>#REF!</formula>
    </cfRule>
    <cfRule type="cellIs" dxfId="683" priority="1296" operator="equal">
      <formula>#REF!</formula>
    </cfRule>
  </conditionalFormatting>
  <conditionalFormatting sqref="K527:L527 K528:K529">
    <cfRule type="cellIs" dxfId="682" priority="1283" operator="equal">
      <formula>#REF!</formula>
    </cfRule>
    <cfRule type="cellIs" dxfId="681" priority="1284" operator="equal">
      <formula>#REF!</formula>
    </cfRule>
    <cfRule type="cellIs" dxfId="680" priority="1285" operator="equal">
      <formula>#REF!</formula>
    </cfRule>
    <cfRule type="cellIs" dxfId="679" priority="1286" operator="equal">
      <formula>#REF!</formula>
    </cfRule>
    <cfRule type="cellIs" dxfId="678" priority="1287" operator="equal">
      <formula>#REF!</formula>
    </cfRule>
    <cfRule type="cellIs" dxfId="677" priority="1288" operator="equal">
      <formula>#REF!</formula>
    </cfRule>
    <cfRule type="cellIs" dxfId="676" priority="1289" operator="equal">
      <formula>#REF!</formula>
    </cfRule>
  </conditionalFormatting>
  <conditionalFormatting sqref="K521:L521 K522:K523">
    <cfRule type="cellIs" dxfId="675" priority="1276" operator="equal">
      <formula>#REF!</formula>
    </cfRule>
    <cfRule type="cellIs" dxfId="674" priority="1277" operator="equal">
      <formula>#REF!</formula>
    </cfRule>
    <cfRule type="cellIs" dxfId="673" priority="1278" operator="equal">
      <formula>#REF!</formula>
    </cfRule>
    <cfRule type="cellIs" dxfId="672" priority="1279" operator="equal">
      <formula>#REF!</formula>
    </cfRule>
    <cfRule type="cellIs" dxfId="671" priority="1280" operator="equal">
      <formula>#REF!</formula>
    </cfRule>
    <cfRule type="cellIs" dxfId="670" priority="1281" operator="equal">
      <formula>#REF!</formula>
    </cfRule>
    <cfRule type="cellIs" dxfId="669" priority="1282" operator="equal">
      <formula>#REF!</formula>
    </cfRule>
  </conditionalFormatting>
  <conditionalFormatting sqref="K426">
    <cfRule type="cellIs" dxfId="668" priority="1269" operator="equal">
      <formula>#REF!</formula>
    </cfRule>
    <cfRule type="cellIs" dxfId="667" priority="1270" operator="equal">
      <formula>#REF!</formula>
    </cfRule>
    <cfRule type="cellIs" dxfId="666" priority="1271" operator="equal">
      <formula>#REF!</formula>
    </cfRule>
    <cfRule type="cellIs" dxfId="665" priority="1272" operator="equal">
      <formula>#REF!</formula>
    </cfRule>
    <cfRule type="cellIs" dxfId="664" priority="1273" operator="equal">
      <formula>#REF!</formula>
    </cfRule>
    <cfRule type="cellIs" dxfId="663" priority="1274" operator="equal">
      <formula>#REF!</formula>
    </cfRule>
    <cfRule type="cellIs" dxfId="662" priority="1275" operator="equal">
      <formula>#REF!</formula>
    </cfRule>
  </conditionalFormatting>
  <conditionalFormatting sqref="K395">
    <cfRule type="cellIs" dxfId="661" priority="1262" operator="equal">
      <formula>#REF!</formula>
    </cfRule>
    <cfRule type="cellIs" dxfId="660" priority="1263" operator="equal">
      <formula>#REF!</formula>
    </cfRule>
    <cfRule type="cellIs" dxfId="659" priority="1264" operator="equal">
      <formula>#REF!</formula>
    </cfRule>
    <cfRule type="cellIs" dxfId="658" priority="1265" operator="equal">
      <formula>#REF!</formula>
    </cfRule>
    <cfRule type="cellIs" dxfId="657" priority="1266" operator="equal">
      <formula>#REF!</formula>
    </cfRule>
    <cfRule type="cellIs" dxfId="656" priority="1267" operator="equal">
      <formula>#REF!</formula>
    </cfRule>
    <cfRule type="cellIs" dxfId="655" priority="1268" operator="equal">
      <formula>#REF!</formula>
    </cfRule>
  </conditionalFormatting>
  <conditionalFormatting sqref="K382">
    <cfRule type="cellIs" dxfId="654" priority="1255" operator="equal">
      <formula>#REF!</formula>
    </cfRule>
    <cfRule type="cellIs" dxfId="653" priority="1256" operator="equal">
      <formula>#REF!</formula>
    </cfRule>
    <cfRule type="cellIs" dxfId="652" priority="1257" operator="equal">
      <formula>#REF!</formula>
    </cfRule>
    <cfRule type="cellIs" dxfId="651" priority="1258" operator="equal">
      <formula>#REF!</formula>
    </cfRule>
    <cfRule type="cellIs" dxfId="650" priority="1259" operator="equal">
      <formula>#REF!</formula>
    </cfRule>
    <cfRule type="cellIs" dxfId="649" priority="1260" operator="equal">
      <formula>#REF!</formula>
    </cfRule>
    <cfRule type="cellIs" dxfId="648" priority="1261" operator="equal">
      <formula>#REF!</formula>
    </cfRule>
  </conditionalFormatting>
  <conditionalFormatting sqref="K398:L398 K399:K401">
    <cfRule type="cellIs" dxfId="647" priority="1248" operator="equal">
      <formula>#REF!</formula>
    </cfRule>
    <cfRule type="cellIs" dxfId="646" priority="1249" operator="equal">
      <formula>#REF!</formula>
    </cfRule>
    <cfRule type="cellIs" dxfId="645" priority="1250" operator="equal">
      <formula>#REF!</formula>
    </cfRule>
    <cfRule type="cellIs" dxfId="644" priority="1251" operator="equal">
      <formula>#REF!</formula>
    </cfRule>
    <cfRule type="cellIs" dxfId="643" priority="1252" operator="equal">
      <formula>#REF!</formula>
    </cfRule>
    <cfRule type="cellIs" dxfId="642" priority="1253" operator="equal">
      <formula>#REF!</formula>
    </cfRule>
    <cfRule type="cellIs" dxfId="641" priority="1254" operator="equal">
      <formula>#REF!</formula>
    </cfRule>
  </conditionalFormatting>
  <conditionalFormatting sqref="F257:F263 F265:F267">
    <cfRule type="cellIs" dxfId="640" priority="602" operator="equal">
      <formula>"Certificate not required as application has been rejected."</formula>
    </cfRule>
  </conditionalFormatting>
  <conditionalFormatting sqref="H257:H263">
    <cfRule type="cellIs" dxfId="639" priority="601" operator="equal">
      <formula>"Use this template!"</formula>
    </cfRule>
  </conditionalFormatting>
  <conditionalFormatting sqref="F257">
    <cfRule type="cellIs" dxfId="638" priority="600" operator="equal">
      <formula>"Proceed to Part 8 of this form                                         ."</formula>
    </cfRule>
  </conditionalFormatting>
  <conditionalFormatting sqref="F260">
    <cfRule type="cellIs" dxfId="637" priority="599" operator="equal">
      <formula>"Find the existing certificate and make the necessary changes         ."</formula>
    </cfRule>
  </conditionalFormatting>
  <conditionalFormatting sqref="F573 F575:F576">
    <cfRule type="cellIs" dxfId="636" priority="598" operator="equal">
      <formula>"Certificate not required as application has been rejected."</formula>
    </cfRule>
  </conditionalFormatting>
  <conditionalFormatting sqref="F565:F571">
    <cfRule type="cellIs" dxfId="635" priority="590" operator="equal">
      <formula>"Certificate not required as application has been rejected."</formula>
    </cfRule>
  </conditionalFormatting>
  <conditionalFormatting sqref="F565">
    <cfRule type="cellIs" dxfId="634" priority="581" operator="equal">
      <formula>"Proceed to Part 7 of this form                                         ."</formula>
    </cfRule>
  </conditionalFormatting>
  <conditionalFormatting sqref="F568">
    <cfRule type="cellIs" dxfId="633" priority="580" operator="equal">
      <formula>"Find the existing certificate and make the necessary changes         ."</formula>
    </cfRule>
  </conditionalFormatting>
  <conditionalFormatting sqref="F572:H573 F575:H576 F580:H581">
    <cfRule type="cellIs" dxfId="632" priority="591" operator="equal">
      <formula>#REF!</formula>
    </cfRule>
    <cfRule type="cellIs" dxfId="631" priority="592" operator="equal">
      <formula>#REF!</formula>
    </cfRule>
    <cfRule type="cellIs" dxfId="630" priority="593" operator="equal">
      <formula>#REF!</formula>
    </cfRule>
    <cfRule type="cellIs" dxfId="629" priority="594" operator="equal">
      <formula>#REF!</formula>
    </cfRule>
    <cfRule type="cellIs" dxfId="628" priority="595" operator="equal">
      <formula>#REF!</formula>
    </cfRule>
    <cfRule type="cellIs" dxfId="627" priority="596" operator="equal">
      <formula>#REF!</formula>
    </cfRule>
    <cfRule type="cellIs" dxfId="626" priority="597" operator="equal">
      <formula>#REF!</formula>
    </cfRule>
  </conditionalFormatting>
  <conditionalFormatting sqref="F565:F571">
    <cfRule type="cellIs" dxfId="625" priority="583" operator="equal">
      <formula>#REF!</formula>
    </cfRule>
    <cfRule type="cellIs" dxfId="624" priority="584" operator="equal">
      <formula>#REF!</formula>
    </cfRule>
    <cfRule type="cellIs" dxfId="623" priority="585" operator="equal">
      <formula>#REF!</formula>
    </cfRule>
    <cfRule type="cellIs" dxfId="622" priority="586" operator="equal">
      <formula>#REF!</formula>
    </cfRule>
    <cfRule type="cellIs" dxfId="621" priority="587" operator="equal">
      <formula>#REF!</formula>
    </cfRule>
    <cfRule type="cellIs" dxfId="620" priority="588" operator="equal">
      <formula>#REF!</formula>
    </cfRule>
    <cfRule type="cellIs" dxfId="619" priority="589" operator="equal">
      <formula>#REF!</formula>
    </cfRule>
  </conditionalFormatting>
  <conditionalFormatting sqref="H565:H571">
    <cfRule type="cellIs" dxfId="618" priority="579" operator="equal">
      <formula>"Use this template!"</formula>
    </cfRule>
  </conditionalFormatting>
  <conditionalFormatting sqref="L574:N574 A574:E574 J574 AJ574:XFD574">
    <cfRule type="cellIs" dxfId="617" priority="572" operator="equal">
      <formula>#REF!</formula>
    </cfRule>
    <cfRule type="cellIs" dxfId="616" priority="573" operator="equal">
      <formula>#REF!</formula>
    </cfRule>
    <cfRule type="cellIs" dxfId="615" priority="574" operator="equal">
      <formula>#REF!</formula>
    </cfRule>
    <cfRule type="cellIs" dxfId="614" priority="575" operator="equal">
      <formula>#REF!</formula>
    </cfRule>
    <cfRule type="cellIs" dxfId="613" priority="576" operator="equal">
      <formula>#REF!</formula>
    </cfRule>
    <cfRule type="cellIs" dxfId="612" priority="577" operator="equal">
      <formula>#REF!</formula>
    </cfRule>
    <cfRule type="cellIs" dxfId="611" priority="578" operator="equal">
      <formula>#REF!</formula>
    </cfRule>
  </conditionalFormatting>
  <conditionalFormatting sqref="F574">
    <cfRule type="cellIs" dxfId="610" priority="571" operator="equal">
      <formula>"Certificate not required as application has been rejected."</formula>
    </cfRule>
  </conditionalFormatting>
  <conditionalFormatting sqref="F574:H574">
    <cfRule type="cellIs" dxfId="609" priority="564" operator="equal">
      <formula>#REF!</formula>
    </cfRule>
    <cfRule type="cellIs" dxfId="608" priority="565" operator="equal">
      <formula>#REF!</formula>
    </cfRule>
    <cfRule type="cellIs" dxfId="607" priority="566" operator="equal">
      <formula>#REF!</formula>
    </cfRule>
    <cfRule type="cellIs" dxfId="606" priority="567" operator="equal">
      <formula>#REF!</formula>
    </cfRule>
    <cfRule type="cellIs" dxfId="605" priority="568" operator="equal">
      <formula>#REF!</formula>
    </cfRule>
    <cfRule type="cellIs" dxfId="604" priority="569" operator="equal">
      <formula>#REF!</formula>
    </cfRule>
    <cfRule type="cellIs" dxfId="603" priority="570" operator="equal">
      <formula>#REF!</formula>
    </cfRule>
  </conditionalFormatting>
  <conditionalFormatting sqref="F20">
    <cfRule type="expression" dxfId="602" priority="79">
      <formula>$F$20&lt;&gt;"Applicant's web page"</formula>
    </cfRule>
    <cfRule type="expression" dxfId="601" priority="85">
      <formula>$F$20="Applicant's web page"</formula>
    </cfRule>
  </conditionalFormatting>
  <conditionalFormatting sqref="F21">
    <cfRule type="expression" dxfId="600" priority="78">
      <formula>$F$21&lt;&gt;"Manufacturer's web page"</formula>
    </cfRule>
    <cfRule type="expression" dxfId="599" priority="84">
      <formula>$F$21="Manufacturer's web page"</formula>
    </cfRule>
  </conditionalFormatting>
  <conditionalFormatting sqref="F372">
    <cfRule type="expression" dxfId="598" priority="67">
      <formula>$F$372&lt;&gt;"Applicant's web page"</formula>
    </cfRule>
    <cfRule type="expression" dxfId="597" priority="73">
      <formula>$F$372="Applicant's web page"</formula>
    </cfRule>
  </conditionalFormatting>
  <conditionalFormatting sqref="F373">
    <cfRule type="expression" dxfId="596" priority="66">
      <formula>$F$373&lt;&gt;"Manufacturer's web page"</formula>
    </cfRule>
    <cfRule type="expression" dxfId="595" priority="72">
      <formula>$F$373="Manufacturer's web page"</formula>
    </cfRule>
  </conditionalFormatting>
  <conditionalFormatting sqref="F25">
    <cfRule type="cellIs" dxfId="594" priority="24" operator="equal">
      <formula>#REF!</formula>
    </cfRule>
    <cfRule type="cellIs" dxfId="593" priority="25" operator="equal">
      <formula>#REF!</formula>
    </cfRule>
    <cfRule type="cellIs" dxfId="592" priority="26" operator="equal">
      <formula>#REF!</formula>
    </cfRule>
    <cfRule type="cellIs" dxfId="591" priority="27" operator="equal">
      <formula>#REF!</formula>
    </cfRule>
    <cfRule type="cellIs" dxfId="590" priority="28" operator="equal">
      <formula>#REF!</formula>
    </cfRule>
    <cfRule type="cellIs" dxfId="589" priority="29" operator="equal">
      <formula>#REF!</formula>
    </cfRule>
    <cfRule type="cellIs" dxfId="588" priority="30" operator="equal">
      <formula>#REF!</formula>
    </cfRule>
  </conditionalFormatting>
  <conditionalFormatting sqref="N630">
    <cfRule type="cellIs" dxfId="587" priority="17" operator="equal">
      <formula>#REF!</formula>
    </cfRule>
    <cfRule type="cellIs" dxfId="586" priority="18" operator="equal">
      <formula>$H$4</formula>
    </cfRule>
    <cfRule type="cellIs" dxfId="585" priority="19" operator="equal">
      <formula>$G$5</formula>
    </cfRule>
    <cfRule type="cellIs" dxfId="584" priority="20" operator="equal">
      <formula>#REF!</formula>
    </cfRule>
    <cfRule type="cellIs" dxfId="583" priority="21" operator="equal">
      <formula>#REF!</formula>
    </cfRule>
    <cfRule type="cellIs" dxfId="582" priority="22" operator="equal">
      <formula>#REF!</formula>
    </cfRule>
    <cfRule type="cellIs" dxfId="581" priority="23" operator="equal">
      <formula>$G$4</formula>
    </cfRule>
  </conditionalFormatting>
  <conditionalFormatting sqref="C320:C332">
    <cfRule type="notContainsBlanks" dxfId="580" priority="16">
      <formula>LEN(TRIM(C320))&gt;0</formula>
    </cfRule>
  </conditionalFormatting>
  <conditionalFormatting sqref="F577:H577">
    <cfRule type="cellIs" dxfId="579" priority="9" operator="equal">
      <formula>#REF!</formula>
    </cfRule>
    <cfRule type="cellIs" dxfId="578" priority="10" operator="equal">
      <formula>#REF!</formula>
    </cfRule>
    <cfRule type="cellIs" dxfId="577" priority="11" operator="equal">
      <formula>#REF!</formula>
    </cfRule>
    <cfRule type="cellIs" dxfId="576" priority="12" operator="equal">
      <formula>#REF!</formula>
    </cfRule>
    <cfRule type="cellIs" dxfId="575" priority="13" operator="equal">
      <formula>#REF!</formula>
    </cfRule>
    <cfRule type="cellIs" dxfId="574" priority="14" operator="equal">
      <formula>#REF!</formula>
    </cfRule>
    <cfRule type="cellIs" dxfId="573" priority="15" operator="equal">
      <formula>#REF!</formula>
    </cfRule>
  </conditionalFormatting>
  <conditionalFormatting sqref="F589:H589">
    <cfRule type="cellIs" dxfId="572" priority="2" operator="equal">
      <formula>#REF!</formula>
    </cfRule>
    <cfRule type="cellIs" dxfId="571" priority="3" operator="equal">
      <formula>#REF!</formula>
    </cfRule>
    <cfRule type="cellIs" dxfId="570" priority="4" operator="equal">
      <formula>#REF!</formula>
    </cfRule>
    <cfRule type="cellIs" dxfId="569" priority="5" operator="equal">
      <formula>#REF!</formula>
    </cfRule>
    <cfRule type="cellIs" dxfId="568" priority="6" operator="equal">
      <formula>#REF!</formula>
    </cfRule>
    <cfRule type="cellIs" dxfId="567" priority="7" operator="equal">
      <formula>#REF!</formula>
    </cfRule>
    <cfRule type="cellIs" dxfId="566" priority="8" operator="equal">
      <formula>#REF!</formula>
    </cfRule>
  </conditionalFormatting>
  <conditionalFormatting sqref="C384">
    <cfRule type="notContainsText" dxfId="565" priority="1" operator="notContains" text="&lt;add relevant review person here&gt;">
      <formula>ISERROR(SEARCH("&lt;add relevant review person here&gt;",C384))</formula>
    </cfRule>
  </conditionalFormatting>
  <hyperlinks>
    <hyperlink ref="G309" r:id="rId1" display="Trade Waste - Product Appraisals - Expired Product to be removed from Water Corp Internet Page - (TEMPLATE).msg (https://nexus.watercorporation.com.au/otcs/cs.exe/link/81154757)" xr:uid="{00000000-0004-0000-0400-000000000000}"/>
    <hyperlink ref="G310" r:id="rId2" display="Trade Waste - Product Appraisals - Existing Product to be refreshed onto Water Corp Internet Page - (TEMPLATE).msg (https://nexus.watercorporation.com.au/otcs/cs.exe/link/81220053)" xr:uid="{00000000-0004-0000-0400-000001000000}"/>
    <hyperlink ref="D347" location="RRR!A1" display="RRR link:" xr:uid="{00000000-0004-0000-0400-000002000000}"/>
    <hyperlink ref="G169:H169" r:id="rId3" display="https://nexus.watercorporation.com.au/otcs/cs.exe/app/nodes/62017712" xr:uid="{00000000-0004-0000-0400-000003000000}"/>
    <hyperlink ref="G199:H199" r:id="rId4" display="https://nexus.watercorporation.com.au/otcs/cs.exe/app/nodes/62017740" xr:uid="{00000000-0004-0000-0400-000004000000}"/>
    <hyperlink ref="G224:H224" r:id="rId5" display="https://nexus.watercorporation.com.au/otcs/cs.exe/app/nodes/62018225" xr:uid="{00000000-0004-0000-0400-000005000000}"/>
    <hyperlink ref="G323" r:id="rId6" display="https://nexus.watercorporation.com.au/otcs/cs.exe/app/nodes/62020929" xr:uid="{00000000-0004-0000-0400-000006000000}"/>
    <hyperlink ref="G324" r:id="rId7" display="https://nexus.watercorporation.com.au/otcs/cs.exe/app/nodes/62020937" xr:uid="{00000000-0004-0000-0400-000007000000}"/>
    <hyperlink ref="G325" r:id="rId8" display="https://nexus.watercorporation.com.au/otcs/cs.exe/app/nodes/62020942" xr:uid="{00000000-0004-0000-0400-000008000000}"/>
    <hyperlink ref="G336" r:id="rId9" display="https://nexus.watercorporation.com.au/otcs/cs.exe/link/58941674" xr:uid="{00000000-0004-0000-0400-000009000000}"/>
    <hyperlink ref="G289" r:id="rId10" display="https://nexus.watercorporation.com.au/otcs/cs.exe/app/nodes/62020984" xr:uid="{00000000-0004-0000-0400-00000A000000}"/>
    <hyperlink ref="G294" r:id="rId11" display="https://nexus.watercorporation.com.au/otcs/cs.exe/app/nodes/62020955" xr:uid="{00000000-0004-0000-0400-00000B000000}"/>
    <hyperlink ref="D654" location="RRR!A1" display="RRR link:" xr:uid="{00000000-0004-0000-0400-00000C000000}"/>
    <hyperlink ref="G643" r:id="rId12" display="https://nexus.watercorporation.com.au/otcs/cs.exe/app/nodes/58941674" xr:uid="{00000000-0004-0000-0400-00000D000000}"/>
    <hyperlink ref="G618" r:id="rId13" display="Trade Waste - Product Appraisals - Expired Product to be removed from Water Corp Internet Page - (TEMPLATE).msg (https://nexus.watercorporation.com.au/otcs/cs.exe/link/81154757)" xr:uid="{00000000-0004-0000-0400-00000F000000}"/>
    <hyperlink ref="G619" r:id="rId14" display="Trade Waste - Product Appraisals - Existing Product to be refreshed onto Water Corp Internet Page - (TEMPLATE).msg (https://nexus.watercorporation.com.au/otcs/cs.exe/link/81220053)" xr:uid="{00000000-0004-0000-0400-000010000000}"/>
    <hyperlink ref="G632" r:id="rId15" display="https://nexus.watercorporation.com.au/otcs/cs.exe/app/nodes/62020937" xr:uid="{00000000-0004-0000-0400-000011000000}"/>
    <hyperlink ref="G257" r:id="rId16" display="https://nexus.watercorporation.com.au/otcs/cs.exe/app/nodes/48969999" xr:uid="{00000000-0004-0000-0400-000012000000}"/>
    <hyperlink ref="G258" r:id="rId17" display="https://nexus.watercorporation.com.au/otcs/cs.exe/app/nodes/48968936" xr:uid="{00000000-0004-0000-0400-000013000000}"/>
    <hyperlink ref="G259" r:id="rId18" display="https://nexus.watercorporation.com.au/otcs/cs.exe/app/nodes/48969961" xr:uid="{00000000-0004-0000-0400-000014000000}"/>
    <hyperlink ref="G260" r:id="rId19" display="https://nexus.watercorporation.com.au/otcs/cs.exe/app/nodes/48970052" xr:uid="{00000000-0004-0000-0400-000015000000}"/>
    <hyperlink ref="G261" r:id="rId20" display="https://nexus.watercorporation.com.au/otcs/cs.exe/app/nodes/48971002" xr:uid="{00000000-0004-0000-0400-000016000000}"/>
    <hyperlink ref="G262" r:id="rId21" display="https://nexus.watercorporation.com.au/otcs/cs.exe/app/nodes/48972003" xr:uid="{00000000-0004-0000-0400-000017000000}"/>
    <hyperlink ref="G263" r:id="rId22" display="https://nexus.watercorporation.com.au/otcs/cs.exe/app/nodes/48972016" xr:uid="{00000000-0004-0000-0400-000018000000}"/>
    <hyperlink ref="G265" r:id="rId23" display="Trade Waste - Product Appraisals - Index and Activity Status Sheet and Product Registers (DO NOT DELETE!).xlsm (https://nexus.watercorporation.com.au/otcs/cs.exe/link/58979569)" xr:uid="{00000000-0004-0000-0400-000019000000}"/>
    <hyperlink ref="G573" r:id="rId24" display="Trade Waste - Product Appraisals - Index and Activity Status Sheet and Product Registers (DO NOT DELETE!).xlsm (https://nexus.watercorporation.com.au/otcs/cs.exe/link/58979569)" xr:uid="{00000000-0004-0000-0400-00001A000000}"/>
    <hyperlink ref="D654:G654" location="'6. RRR'!A1" display="'6. RRR'!A1" xr:uid="{00000000-0004-0000-0400-00001B000000}"/>
    <hyperlink ref="D347:G347" location="'6. RRR'!A1" display="'6. RRR'!A1" xr:uid="{00000000-0004-0000-0400-00001C000000}"/>
    <hyperlink ref="G23:H23" r:id="rId25" display="Panel Member Planning, Scheduling and Review Request e-mail" xr:uid="{00000000-0004-0000-0400-00001D000000}"/>
    <hyperlink ref="G308" r:id="rId26" display="Trade Waste - Product Appraisals - New Product to be added onto Water Corp Internet Page - (TEMPLATE).msg (https://nexus.watercorporation.com.au/otcs/cs.exe/link/81155163)" xr:uid="{00000000-0004-0000-0400-00001E000000}"/>
    <hyperlink ref="G520:H520" r:id="rId27" display="https://nexus.watercorporation.com.au/otcs/cs.exe/app/nodes/62017712" xr:uid="{00000000-0004-0000-0400-00001F000000}"/>
    <hyperlink ref="G565" r:id="rId28" display="https://nexus.watercorporation.com.au/otcs/cs.exe/app/nodes/48969999" xr:uid="{00000000-0004-0000-0400-000020000000}"/>
    <hyperlink ref="G566" r:id="rId29" display="https://nexus.watercorporation.com.au/otcs/cs.exe/app/nodes/48968936" xr:uid="{00000000-0004-0000-0400-000021000000}"/>
    <hyperlink ref="G567" r:id="rId30" display="https://nexus.watercorporation.com.au/otcs/cs.exe/app/nodes/48969961" xr:uid="{00000000-0004-0000-0400-000022000000}"/>
    <hyperlink ref="G568" r:id="rId31" display="https://nexus.watercorporation.com.au/otcs/cs.exe/app/nodes/48970052" xr:uid="{00000000-0004-0000-0400-000023000000}"/>
    <hyperlink ref="G569" r:id="rId32" display="https://nexus.watercorporation.com.au/otcs/cs.exe/app/nodes/48971002" xr:uid="{00000000-0004-0000-0400-000024000000}"/>
    <hyperlink ref="G570" r:id="rId33" display="https://nexus.watercorporation.com.au/otcs/cs.exe/app/nodes/48972003" xr:uid="{00000000-0004-0000-0400-000025000000}"/>
    <hyperlink ref="G571" r:id="rId34" display="https://nexus.watercorporation.com.au/otcs/cs.exe/app/nodes/48972016" xr:uid="{00000000-0004-0000-0400-000026000000}"/>
    <hyperlink ref="G277" r:id="rId35" display="https://nexus.watercorporation.com.au/otcs/cs.exe/app/nodes/62019043" xr:uid="{00000000-0004-0000-0400-000027000000}"/>
    <hyperlink ref="G586" r:id="rId36" display="https://nexus.watercorporation.com.au/otcs/cs.exe/app/nodes/62019043" xr:uid="{00000000-0004-0000-0400-000028000000}"/>
    <hyperlink ref="G598" r:id="rId37" display="https://nexus.watercorporation.com.au/otcs/cs.exe/app/nodes/62020984" xr:uid="{00000000-0004-0000-0400-000029000000}"/>
    <hyperlink ref="G603" r:id="rId38" display="https://nexus.watercorporation.com.au/otcs/cs.exe/app/nodes/62020955" xr:uid="{00000000-0004-0000-0400-00002A000000}"/>
    <hyperlink ref="G398" r:id="rId39" display="https://nexus.watercorporation.com.au/otcs/cs.exe/app/nodes/150589064" xr:uid="{AC543F5E-E0B0-4B4D-8632-C04B9AA224BB}"/>
  </hyperlinks>
  <pageMargins left="0.70866141732283472" right="0.70866141732283472" top="0.74803149606299213" bottom="0.74803149606299213" header="0.31496062992125984" footer="0.31496062992125984"/>
  <pageSetup paperSize="9" scale="35" fitToHeight="3" orientation="portrait" r:id="rId40"/>
  <rowBreaks count="5" manualBreakCount="5">
    <brk id="84" max="9" man="1"/>
    <brk id="232" max="9" man="1"/>
    <brk id="355" max="9" man="1"/>
    <brk id="480" max="9" man="1"/>
    <brk id="627" max="9" man="1"/>
  </rowBreaks>
  <tableParts count="2">
    <tablePart r:id="rId41"/>
    <tablePart r:id="rId42"/>
  </tableParts>
  <extLst>
    <ext xmlns:x14="http://schemas.microsoft.com/office/spreadsheetml/2009/9/main" uri="{78C0D931-6437-407d-A8EE-F0AAD7539E65}">
      <x14:conditionalFormattings>
        <x14:conditionalFormatting xmlns:xm="http://schemas.microsoft.com/office/excel/2006/main">
          <x14:cfRule type="expression" priority="1207" id="{E21BF3D0-1347-4C05-AE46-9376AE78394B}">
            <xm:f>$H$88='(admin) Drop Down Variables'!$D$63</xm:f>
            <x14:dxf>
              <fill>
                <patternFill>
                  <bgColor rgb="FF00B050"/>
                </patternFill>
              </fill>
            </x14:dxf>
          </x14:cfRule>
          <x14:cfRule type="expression" priority="1208" id="{3CB701A5-0D90-47FB-B85F-AD53FF3BB6C4}">
            <xm:f>$H$88='(admin) Drop Down Variables'!$D$64</xm:f>
            <x14:dxf>
              <fill>
                <patternFill>
                  <bgColor rgb="FFFF0000"/>
                </patternFill>
              </fill>
            </x14:dxf>
          </x14:cfRule>
          <xm:sqref>I88</xm:sqref>
        </x14:conditionalFormatting>
        <x14:conditionalFormatting xmlns:xm="http://schemas.microsoft.com/office/excel/2006/main">
          <x14:cfRule type="expression" priority="1205" id="{33337E21-6498-4816-A352-54FE15615AD6}">
            <xm:f>$H$88='(admin) Drop Down Variables'!$D$63</xm:f>
            <x14:dxf>
              <fill>
                <patternFill>
                  <bgColor rgb="FF00B050"/>
                </patternFill>
              </fill>
            </x14:dxf>
          </x14:cfRule>
          <x14:cfRule type="expression" priority="1206" id="{F1A2C561-B926-4D5C-B860-CBF05E7A1053}">
            <xm:f>$H$88='(admin) Drop Down Variables'!$D$64</xm:f>
            <x14:dxf>
              <fill>
                <patternFill>
                  <bgColor rgb="FFFF0000"/>
                </patternFill>
              </fill>
            </x14:dxf>
          </x14:cfRule>
          <xm:sqref>I89</xm:sqref>
        </x14:conditionalFormatting>
        <x14:conditionalFormatting xmlns:xm="http://schemas.microsoft.com/office/excel/2006/main">
          <x14:cfRule type="expression" priority="1201" id="{B56E6C21-E325-4EFC-9F2E-77CC517C355C}">
            <xm:f>$H$92='(admin) Drop Down Variables'!$D$63</xm:f>
            <x14:dxf>
              <fill>
                <patternFill>
                  <bgColor rgb="FF00B050"/>
                </patternFill>
              </fill>
            </x14:dxf>
          </x14:cfRule>
          <x14:cfRule type="expression" priority="1202" id="{5E5EFDC9-16C6-4421-8935-02BC86E518E3}">
            <xm:f>$H$92='(admin) Drop Down Variables'!$D$64</xm:f>
            <x14:dxf>
              <fill>
                <patternFill>
                  <bgColor rgb="FFFF0000"/>
                </patternFill>
              </fill>
            </x14:dxf>
          </x14:cfRule>
          <xm:sqref>I92:I93</xm:sqref>
        </x14:conditionalFormatting>
        <x14:conditionalFormatting xmlns:xm="http://schemas.microsoft.com/office/excel/2006/main">
          <x14:cfRule type="cellIs" priority="1194" operator="equal" id="{F796527D-AF0F-43EE-BDAD-9C5C544B54DC}">
            <xm:f>'(admin) Drop Down Variables'!$D$64</xm:f>
            <x14:dxf>
              <font>
                <b/>
                <i val="0"/>
                <color auto="1"/>
              </font>
            </x14:dxf>
          </x14:cfRule>
          <x14:cfRule type="cellIs" priority="1195" operator="equal" id="{C1958D2B-906A-42BA-91BE-74463A41C402}">
            <xm:f>'(admin) Drop Down Variables'!$D$63</xm:f>
            <x14:dxf>
              <font>
                <b/>
                <i val="0"/>
                <color auto="1"/>
              </font>
            </x14:dxf>
          </x14:cfRule>
          <x14:cfRule type="cellIs" priority="1196" operator="equal" id="{D3594645-9637-4E50-996D-F3FAE72111A1}">
            <xm:f>'(admin) Drop Down Variables'!$D$60</xm:f>
            <x14:dxf>
              <font>
                <b/>
                <i val="0"/>
                <color auto="1"/>
              </font>
            </x14:dxf>
          </x14:cfRule>
          <x14:cfRule type="cellIs" priority="1197" operator="equal" id="{7D207333-8064-4B15-A524-85D20AF65A4E}">
            <xm:f>'(admin) Drop Down Variables'!$D$59</xm:f>
            <x14:dxf>
              <font>
                <b/>
                <i val="0"/>
                <color auto="1"/>
              </font>
            </x14:dxf>
          </x14:cfRule>
          <x14:cfRule type="cellIs" priority="1198" operator="equal" id="{1F4D8BBD-C67B-4655-B5DF-943335C34808}">
            <xm:f>'(admin) Drop Down Variables'!$D$58</xm:f>
            <x14:dxf>
              <font>
                <b/>
                <i val="0"/>
                <color auto="1"/>
              </font>
            </x14:dxf>
          </x14:cfRule>
          <x14:cfRule type="cellIs" priority="1199" operator="equal" id="{57FC6D1E-30DC-4348-B30B-6C1D33D49007}">
            <xm:f>'(admin) Drop Down Variables'!$D$57</xm:f>
            <x14:dxf>
              <font>
                <b/>
                <i val="0"/>
                <color auto="1"/>
              </font>
            </x14:dxf>
          </x14:cfRule>
          <x14:cfRule type="cellIs" priority="1200" operator="equal" id="{11043A32-C351-455F-B90C-E10C62A6A9FE}">
            <xm:f>'(admin) Drop Down Variables'!$D$56</xm:f>
            <x14:dxf>
              <font>
                <b/>
                <i val="0"/>
                <color auto="1"/>
              </font>
            </x14:dxf>
          </x14:cfRule>
          <xm:sqref>A96:F103 A167:F167 A160:F163 H104:H109 H112:H117 H120:H125 H128:H133 H136:H141 H144:H149 H152:H157 H160:H165 H455:H460 H463:H468 H471:H476 H479:H484 H487:H492 H495:H500 H503:H508 H511:H516</xm:sqref>
        </x14:conditionalFormatting>
        <x14:conditionalFormatting xmlns:xm="http://schemas.microsoft.com/office/excel/2006/main">
          <x14:cfRule type="cellIs" priority="1181" operator="equal" id="{CB77C792-6842-4F19-9887-54D16174DB75}">
            <xm:f>'(admin) Drop Down Variables'!$D$64</xm:f>
            <x14:dxf>
              <font>
                <b/>
                <i val="0"/>
                <color auto="1"/>
              </font>
            </x14:dxf>
          </x14:cfRule>
          <x14:cfRule type="cellIs" priority="1182" operator="equal" id="{D26B364B-EF2D-4BE8-901D-35BD20E90AF6}">
            <xm:f>'(admin) Drop Down Variables'!$D$63</xm:f>
            <x14:dxf>
              <font>
                <b/>
                <i val="0"/>
                <color auto="1"/>
              </font>
            </x14:dxf>
          </x14:cfRule>
          <x14:cfRule type="cellIs" priority="1183" operator="equal" id="{292D0E35-023D-44A1-A2D7-0DDF928F585A}">
            <xm:f>'(admin) Drop Down Variables'!$D$60</xm:f>
            <x14:dxf>
              <font>
                <b/>
                <i val="0"/>
                <color auto="1"/>
              </font>
            </x14:dxf>
          </x14:cfRule>
          <x14:cfRule type="cellIs" priority="1184" operator="equal" id="{DADCC502-2469-4812-81E5-CAB50E9DFCB1}">
            <xm:f>'(admin) Drop Down Variables'!$D$59</xm:f>
            <x14:dxf>
              <font>
                <b/>
                <i val="0"/>
                <color auto="1"/>
              </font>
            </x14:dxf>
          </x14:cfRule>
          <x14:cfRule type="cellIs" priority="1185" operator="equal" id="{655989B7-7097-4E5E-8687-7891C8C9A0C1}">
            <xm:f>'(admin) Drop Down Variables'!$D$58</xm:f>
            <x14:dxf>
              <font>
                <b/>
                <i val="0"/>
                <color auto="1"/>
              </font>
            </x14:dxf>
          </x14:cfRule>
          <x14:cfRule type="cellIs" priority="1186" operator="equal" id="{5A7C4A66-B57F-45F3-931E-9CED0F16F38A}">
            <xm:f>'(admin) Drop Down Variables'!$D$57</xm:f>
            <x14:dxf>
              <font>
                <b/>
                <i val="0"/>
                <color auto="1"/>
              </font>
            </x14:dxf>
          </x14:cfRule>
          <x14:cfRule type="cellIs" priority="1187" operator="equal" id="{394DD8A6-E4BA-4D56-8B16-9102FAE47461}">
            <xm:f>'(admin) Drop Down Variables'!$D$56</xm:f>
            <x14:dxf>
              <font>
                <b/>
                <i val="0"/>
                <color auto="1"/>
              </font>
            </x14:dxf>
          </x14:cfRule>
          <xm:sqref>A104:F111</xm:sqref>
        </x14:conditionalFormatting>
        <x14:conditionalFormatting xmlns:xm="http://schemas.microsoft.com/office/excel/2006/main">
          <x14:cfRule type="expression" priority="1179" id="{703D8380-25BA-4DFD-A69E-2188805BD6C9}">
            <xm:f>$H$104='(admin) Drop Down Variables'!$D$63</xm:f>
            <x14:dxf>
              <fill>
                <patternFill>
                  <bgColor rgb="FF00B050"/>
                </patternFill>
              </fill>
            </x14:dxf>
          </x14:cfRule>
          <x14:cfRule type="expression" priority="1180" id="{D36E4D62-FA76-4EEF-AF29-092322FDCB53}">
            <xm:f>$H$104='(admin) Drop Down Variables'!$D$64</xm:f>
            <x14:dxf>
              <fill>
                <patternFill>
                  <bgColor rgb="FFFF0000"/>
                </patternFill>
              </fill>
            </x14:dxf>
          </x14:cfRule>
          <xm:sqref>I104</xm:sqref>
        </x14:conditionalFormatting>
        <x14:conditionalFormatting xmlns:xm="http://schemas.microsoft.com/office/excel/2006/main">
          <x14:cfRule type="expression" priority="1175" id="{E2BEB3B9-9BF9-47CE-B682-3A7A88609EC5}">
            <xm:f>$H$108='(admin) Drop Down Variables'!$D$63</xm:f>
            <x14:dxf>
              <fill>
                <patternFill>
                  <bgColor rgb="FF00B050"/>
                </patternFill>
              </fill>
            </x14:dxf>
          </x14:cfRule>
          <x14:cfRule type="expression" priority="1176" id="{12B692A6-75B9-47FC-B6E3-A9E5A94A7307}">
            <xm:f>$H$108='(admin) Drop Down Variables'!$D$64</xm:f>
            <x14:dxf>
              <fill>
                <patternFill>
                  <bgColor rgb="FFFF0000"/>
                </patternFill>
              </fill>
            </x14:dxf>
          </x14:cfRule>
          <xm:sqref>I108:I109</xm:sqref>
        </x14:conditionalFormatting>
        <x14:conditionalFormatting xmlns:xm="http://schemas.microsoft.com/office/excel/2006/main">
          <x14:cfRule type="cellIs" priority="1168" operator="equal" id="{B878E7DF-FC04-407D-BAF1-B7114C2715E1}">
            <xm:f>'(admin) Drop Down Variables'!$D$64</xm:f>
            <x14:dxf>
              <font>
                <b/>
                <i val="0"/>
                <color auto="1"/>
              </font>
            </x14:dxf>
          </x14:cfRule>
          <x14:cfRule type="cellIs" priority="1169" operator="equal" id="{3497DDC5-F2B2-4A19-83DB-EC93D5948BE6}">
            <xm:f>'(admin) Drop Down Variables'!$D$63</xm:f>
            <x14:dxf>
              <font>
                <b/>
                <i val="0"/>
                <color auto="1"/>
              </font>
            </x14:dxf>
          </x14:cfRule>
          <x14:cfRule type="cellIs" priority="1170" operator="equal" id="{5E01D124-1FCE-41CD-9D49-5EB4BEF83332}">
            <xm:f>'(admin) Drop Down Variables'!$D$60</xm:f>
            <x14:dxf>
              <font>
                <b/>
                <i val="0"/>
                <color auto="1"/>
              </font>
            </x14:dxf>
          </x14:cfRule>
          <x14:cfRule type="cellIs" priority="1171" operator="equal" id="{1DEE6B83-81F2-4604-B7EB-C0725F7CD85B}">
            <xm:f>'(admin) Drop Down Variables'!$D$59</xm:f>
            <x14:dxf>
              <font>
                <b/>
                <i val="0"/>
                <color auto="1"/>
              </font>
            </x14:dxf>
          </x14:cfRule>
          <x14:cfRule type="cellIs" priority="1172" operator="equal" id="{9050CD47-58E5-4492-A999-4EBF976EC997}">
            <xm:f>'(admin) Drop Down Variables'!$D$58</xm:f>
            <x14:dxf>
              <font>
                <b/>
                <i val="0"/>
                <color auto="1"/>
              </font>
            </x14:dxf>
          </x14:cfRule>
          <x14:cfRule type="cellIs" priority="1173" operator="equal" id="{77C5E817-95AB-4B7D-9FF1-51C0AD7B045A}">
            <xm:f>'(admin) Drop Down Variables'!$D$57</xm:f>
            <x14:dxf>
              <font>
                <b/>
                <i val="0"/>
                <color auto="1"/>
              </font>
            </x14:dxf>
          </x14:cfRule>
          <x14:cfRule type="cellIs" priority="1174" operator="equal" id="{E4CB05BE-DF13-4C8C-8C3A-2E26CB68DA6E}">
            <xm:f>'(admin) Drop Down Variables'!$D$56</xm:f>
            <x14:dxf>
              <font>
                <b/>
                <i val="0"/>
                <color auto="1"/>
              </font>
            </x14:dxf>
          </x14:cfRule>
          <xm:sqref>A112:F119</xm:sqref>
        </x14:conditionalFormatting>
        <x14:conditionalFormatting xmlns:xm="http://schemas.microsoft.com/office/excel/2006/main">
          <x14:cfRule type="expression" priority="1166" id="{10CDB159-E96F-4963-B36F-56C5C603A4F2}">
            <xm:f>$H$112='(admin) Drop Down Variables'!$D$63</xm:f>
            <x14:dxf>
              <fill>
                <patternFill>
                  <bgColor rgb="FF00B050"/>
                </patternFill>
              </fill>
            </x14:dxf>
          </x14:cfRule>
          <x14:cfRule type="expression" priority="1167" id="{67FFB25C-B942-46E6-BC67-51E0415496D7}">
            <xm:f>$H$112='(admin) Drop Down Variables'!$D$64</xm:f>
            <x14:dxf>
              <fill>
                <patternFill>
                  <bgColor rgb="FFFF0000"/>
                </patternFill>
              </fill>
            </x14:dxf>
          </x14:cfRule>
          <xm:sqref>I112</xm:sqref>
        </x14:conditionalFormatting>
        <x14:conditionalFormatting xmlns:xm="http://schemas.microsoft.com/office/excel/2006/main">
          <x14:cfRule type="expression" priority="1162" id="{011D9AA5-8C99-4FDD-9945-A37A6942FDB8}">
            <xm:f>$H$116='(admin) Drop Down Variables'!$D$63</xm:f>
            <x14:dxf>
              <fill>
                <patternFill>
                  <bgColor rgb="FF00B050"/>
                </patternFill>
              </fill>
            </x14:dxf>
          </x14:cfRule>
          <x14:cfRule type="expression" priority="1163" id="{4FECE103-3CD2-4FBE-88E3-D3D785870966}">
            <xm:f>$H$116='(admin) Drop Down Variables'!$D$64</xm:f>
            <x14:dxf>
              <fill>
                <patternFill>
                  <bgColor rgb="FFFF0000"/>
                </patternFill>
              </fill>
            </x14:dxf>
          </x14:cfRule>
          <xm:sqref>I116:I117</xm:sqref>
        </x14:conditionalFormatting>
        <x14:conditionalFormatting xmlns:xm="http://schemas.microsoft.com/office/excel/2006/main">
          <x14:cfRule type="cellIs" priority="1155" operator="equal" id="{BFE3A25B-72C6-4C34-8921-9406BEBCD496}">
            <xm:f>'(admin) Drop Down Variables'!$D$64</xm:f>
            <x14:dxf>
              <font>
                <b/>
                <i val="0"/>
                <color auto="1"/>
              </font>
            </x14:dxf>
          </x14:cfRule>
          <x14:cfRule type="cellIs" priority="1156" operator="equal" id="{B1D5BE9A-C1AC-4870-91CF-2B773CE142BA}">
            <xm:f>'(admin) Drop Down Variables'!$D$63</xm:f>
            <x14:dxf>
              <font>
                <b/>
                <i val="0"/>
                <color auto="1"/>
              </font>
            </x14:dxf>
          </x14:cfRule>
          <x14:cfRule type="cellIs" priority="1157" operator="equal" id="{8BE05632-0D2C-446E-9551-0360E4F722A5}">
            <xm:f>'(admin) Drop Down Variables'!$D$60</xm:f>
            <x14:dxf>
              <font>
                <b/>
                <i val="0"/>
                <color auto="1"/>
              </font>
            </x14:dxf>
          </x14:cfRule>
          <x14:cfRule type="cellIs" priority="1158" operator="equal" id="{67AF3A42-01BD-43CE-AEFF-6A163BE571E5}">
            <xm:f>'(admin) Drop Down Variables'!$D$59</xm:f>
            <x14:dxf>
              <font>
                <b/>
                <i val="0"/>
                <color auto="1"/>
              </font>
            </x14:dxf>
          </x14:cfRule>
          <x14:cfRule type="cellIs" priority="1159" operator="equal" id="{814394E8-A4AF-43C6-AF4B-501F891A1BBC}">
            <xm:f>'(admin) Drop Down Variables'!$D$58</xm:f>
            <x14:dxf>
              <font>
                <b/>
                <i val="0"/>
                <color auto="1"/>
              </font>
            </x14:dxf>
          </x14:cfRule>
          <x14:cfRule type="cellIs" priority="1160" operator="equal" id="{5F73B8CC-6532-4ED5-838A-2B544611B02A}">
            <xm:f>'(admin) Drop Down Variables'!$D$57</xm:f>
            <x14:dxf>
              <font>
                <b/>
                <i val="0"/>
                <color auto="1"/>
              </font>
            </x14:dxf>
          </x14:cfRule>
          <x14:cfRule type="cellIs" priority="1161" operator="equal" id="{2333873C-809B-46CF-8990-035FD70E0F65}">
            <xm:f>'(admin) Drop Down Variables'!$D$56</xm:f>
            <x14:dxf>
              <font>
                <b/>
                <i val="0"/>
                <color auto="1"/>
              </font>
            </x14:dxf>
          </x14:cfRule>
          <xm:sqref>A120:F125</xm:sqref>
        </x14:conditionalFormatting>
        <x14:conditionalFormatting xmlns:xm="http://schemas.microsoft.com/office/excel/2006/main">
          <x14:cfRule type="cellIs" priority="1142" operator="equal" id="{1C1D6ACE-8434-4250-964E-28CA0F06A788}">
            <xm:f>'(admin) Drop Down Variables'!$D$64</xm:f>
            <x14:dxf>
              <font>
                <b/>
                <i val="0"/>
                <color auto="1"/>
              </font>
            </x14:dxf>
          </x14:cfRule>
          <x14:cfRule type="cellIs" priority="1143" operator="equal" id="{B47D6644-3BBB-401A-ABFB-F96B240C7EDB}">
            <xm:f>'(admin) Drop Down Variables'!$D$63</xm:f>
            <x14:dxf>
              <font>
                <b/>
                <i val="0"/>
                <color auto="1"/>
              </font>
            </x14:dxf>
          </x14:cfRule>
          <x14:cfRule type="cellIs" priority="1144" operator="equal" id="{4C110283-09F7-4EF1-83E8-A2F0D69A9F8D}">
            <xm:f>'(admin) Drop Down Variables'!$D$60</xm:f>
            <x14:dxf>
              <font>
                <b/>
                <i val="0"/>
                <color auto="1"/>
              </font>
            </x14:dxf>
          </x14:cfRule>
          <x14:cfRule type="cellIs" priority="1145" operator="equal" id="{F52C3D01-1013-47DA-9FFD-F3D52C713DD4}">
            <xm:f>'(admin) Drop Down Variables'!$D$59</xm:f>
            <x14:dxf>
              <font>
                <b/>
                <i val="0"/>
                <color auto="1"/>
              </font>
            </x14:dxf>
          </x14:cfRule>
          <x14:cfRule type="cellIs" priority="1146" operator="equal" id="{0AC74472-677C-4F21-B5B1-291603F14030}">
            <xm:f>'(admin) Drop Down Variables'!$D$58</xm:f>
            <x14:dxf>
              <font>
                <b/>
                <i val="0"/>
                <color auto="1"/>
              </font>
            </x14:dxf>
          </x14:cfRule>
          <x14:cfRule type="cellIs" priority="1147" operator="equal" id="{51B908D7-668F-4E47-B07A-2068BAE07364}">
            <xm:f>'(admin) Drop Down Variables'!$D$57</xm:f>
            <x14:dxf>
              <font>
                <b/>
                <i val="0"/>
                <color auto="1"/>
              </font>
            </x14:dxf>
          </x14:cfRule>
          <x14:cfRule type="cellIs" priority="1148" operator="equal" id="{6D2FCBA9-0B2D-4728-8CCD-BA2C54F60E6C}">
            <xm:f>'(admin) Drop Down Variables'!$D$56</xm:f>
            <x14:dxf>
              <font>
                <b/>
                <i val="0"/>
                <color auto="1"/>
              </font>
            </x14:dxf>
          </x14:cfRule>
          <xm:sqref>J128:XFD135</xm:sqref>
        </x14:conditionalFormatting>
        <x14:conditionalFormatting xmlns:xm="http://schemas.microsoft.com/office/excel/2006/main">
          <x14:cfRule type="cellIs" priority="1129" operator="equal" id="{93A7BB01-9DAF-4D3A-92F0-C874CC83CCF6}">
            <xm:f>'(admin) Drop Down Variables'!$D$64</xm:f>
            <x14:dxf>
              <font>
                <b/>
                <i val="0"/>
                <color auto="1"/>
              </font>
            </x14:dxf>
          </x14:cfRule>
          <x14:cfRule type="cellIs" priority="1130" operator="equal" id="{6F2DEC48-FD4A-47FD-B3C7-EB58718DDD43}">
            <xm:f>'(admin) Drop Down Variables'!$D$63</xm:f>
            <x14:dxf>
              <font>
                <b/>
                <i val="0"/>
                <color auto="1"/>
              </font>
            </x14:dxf>
          </x14:cfRule>
          <x14:cfRule type="cellIs" priority="1131" operator="equal" id="{37824D8F-6A31-417E-9B98-A9A5261DCE33}">
            <xm:f>'(admin) Drop Down Variables'!$D$60</xm:f>
            <x14:dxf>
              <font>
                <b/>
                <i val="0"/>
                <color auto="1"/>
              </font>
            </x14:dxf>
          </x14:cfRule>
          <x14:cfRule type="cellIs" priority="1132" operator="equal" id="{07EADA11-2972-43AE-A01E-7892E2B9C725}">
            <xm:f>'(admin) Drop Down Variables'!$D$59</xm:f>
            <x14:dxf>
              <font>
                <b/>
                <i val="0"/>
                <color auto="1"/>
              </font>
            </x14:dxf>
          </x14:cfRule>
          <x14:cfRule type="cellIs" priority="1133" operator="equal" id="{13E3A75E-0A0E-4333-8E7A-68A7B57CAFB3}">
            <xm:f>'(admin) Drop Down Variables'!$D$58</xm:f>
            <x14:dxf>
              <font>
                <b/>
                <i val="0"/>
                <color auto="1"/>
              </font>
            </x14:dxf>
          </x14:cfRule>
          <x14:cfRule type="cellIs" priority="1134" operator="equal" id="{EB3E6394-FE99-4746-8F85-5E8BCCCD4044}">
            <xm:f>'(admin) Drop Down Variables'!$D$57</xm:f>
            <x14:dxf>
              <font>
                <b/>
                <i val="0"/>
                <color auto="1"/>
              </font>
            </x14:dxf>
          </x14:cfRule>
          <x14:cfRule type="cellIs" priority="1135" operator="equal" id="{CE95DA0B-FE45-4B0E-A3C2-6B0EBF0962C5}">
            <xm:f>'(admin) Drop Down Variables'!$D$56</xm:f>
            <x14:dxf>
              <font>
                <b/>
                <i val="0"/>
                <color auto="1"/>
              </font>
            </x14:dxf>
          </x14:cfRule>
          <xm:sqref>A136:F143</xm:sqref>
        </x14:conditionalFormatting>
        <x14:conditionalFormatting xmlns:xm="http://schemas.microsoft.com/office/excel/2006/main">
          <x14:cfRule type="cellIs" priority="1116" operator="equal" id="{511353C9-A82C-4851-AE7A-C02FDB12DEDB}">
            <xm:f>'(admin) Drop Down Variables'!$D$64</xm:f>
            <x14:dxf>
              <font>
                <b/>
                <i val="0"/>
                <color auto="1"/>
              </font>
            </x14:dxf>
          </x14:cfRule>
          <x14:cfRule type="cellIs" priority="1117" operator="equal" id="{5E8ACB29-F079-41B4-92A4-5677A38252C8}">
            <xm:f>'(admin) Drop Down Variables'!$D$63</xm:f>
            <x14:dxf>
              <font>
                <b/>
                <i val="0"/>
                <color auto="1"/>
              </font>
            </x14:dxf>
          </x14:cfRule>
          <x14:cfRule type="cellIs" priority="1118" operator="equal" id="{1BD6F0AA-A73E-4A4E-BB10-AC02063944FF}">
            <xm:f>'(admin) Drop Down Variables'!$D$60</xm:f>
            <x14:dxf>
              <font>
                <b/>
                <i val="0"/>
                <color auto="1"/>
              </font>
            </x14:dxf>
          </x14:cfRule>
          <x14:cfRule type="cellIs" priority="1119" operator="equal" id="{1B242EE6-13F3-47DC-8FC4-1EDBDF24DAD5}">
            <xm:f>'(admin) Drop Down Variables'!$D$59</xm:f>
            <x14:dxf>
              <font>
                <b/>
                <i val="0"/>
                <color auto="1"/>
              </font>
            </x14:dxf>
          </x14:cfRule>
          <x14:cfRule type="cellIs" priority="1120" operator="equal" id="{FAF4CA53-FC15-46D3-9A3A-65625970DFCE}">
            <xm:f>'(admin) Drop Down Variables'!$D$58</xm:f>
            <x14:dxf>
              <font>
                <b/>
                <i val="0"/>
                <color auto="1"/>
              </font>
            </x14:dxf>
          </x14:cfRule>
          <x14:cfRule type="cellIs" priority="1121" operator="equal" id="{81CFE2E4-B2FF-4EF0-8D67-313B32BC3B39}">
            <xm:f>'(admin) Drop Down Variables'!$D$57</xm:f>
            <x14:dxf>
              <font>
                <b/>
                <i val="0"/>
                <color auto="1"/>
              </font>
            </x14:dxf>
          </x14:cfRule>
          <x14:cfRule type="cellIs" priority="1122" operator="equal" id="{4DFC79A2-ADC0-4A7A-A8D9-34E10E14BB28}">
            <xm:f>'(admin) Drop Down Variables'!$D$56</xm:f>
            <x14:dxf>
              <font>
                <b/>
                <i val="0"/>
                <color auto="1"/>
              </font>
            </x14:dxf>
          </x14:cfRule>
          <xm:sqref>A144:F151</xm:sqref>
        </x14:conditionalFormatting>
        <x14:conditionalFormatting xmlns:xm="http://schemas.microsoft.com/office/excel/2006/main">
          <x14:cfRule type="cellIs" priority="1103" operator="equal" id="{0E44A1CB-7A9E-44E8-8A2F-AA8CA73380D4}">
            <xm:f>'(admin) Drop Down Variables'!$D$64</xm:f>
            <x14:dxf>
              <font>
                <b/>
                <i val="0"/>
                <color auto="1"/>
              </font>
            </x14:dxf>
          </x14:cfRule>
          <x14:cfRule type="cellIs" priority="1104" operator="equal" id="{67F80BC9-4466-4F70-818B-BC0758D574FD}">
            <xm:f>'(admin) Drop Down Variables'!$D$63</xm:f>
            <x14:dxf>
              <font>
                <b/>
                <i val="0"/>
                <color auto="1"/>
              </font>
            </x14:dxf>
          </x14:cfRule>
          <x14:cfRule type="cellIs" priority="1105" operator="equal" id="{691A9336-7678-41DC-AF6C-98FB0E4469B4}">
            <xm:f>'(admin) Drop Down Variables'!$D$60</xm:f>
            <x14:dxf>
              <font>
                <b/>
                <i val="0"/>
                <color auto="1"/>
              </font>
            </x14:dxf>
          </x14:cfRule>
          <x14:cfRule type="cellIs" priority="1106" operator="equal" id="{145F9269-4AB9-40DF-A102-9A297B05FC3E}">
            <xm:f>'(admin) Drop Down Variables'!$D$59</xm:f>
            <x14:dxf>
              <font>
                <b/>
                <i val="0"/>
                <color auto="1"/>
              </font>
            </x14:dxf>
          </x14:cfRule>
          <x14:cfRule type="cellIs" priority="1107" operator="equal" id="{312D6983-996B-4557-9C76-3B7BE04B315B}">
            <xm:f>'(admin) Drop Down Variables'!$D$58</xm:f>
            <x14:dxf>
              <font>
                <b/>
                <i val="0"/>
                <color auto="1"/>
              </font>
            </x14:dxf>
          </x14:cfRule>
          <x14:cfRule type="cellIs" priority="1108" operator="equal" id="{16CACBEF-D946-4F9B-9B2B-1CB563FD33AD}">
            <xm:f>'(admin) Drop Down Variables'!$D$57</xm:f>
            <x14:dxf>
              <font>
                <b/>
                <i val="0"/>
                <color auto="1"/>
              </font>
            </x14:dxf>
          </x14:cfRule>
          <x14:cfRule type="cellIs" priority="1109" operator="equal" id="{5BC851B6-9B8E-4D1B-9609-057C45DB81F4}">
            <xm:f>'(admin) Drop Down Variables'!$D$56</xm:f>
            <x14:dxf>
              <font>
                <b/>
                <i val="0"/>
                <color auto="1"/>
              </font>
            </x14:dxf>
          </x14:cfRule>
          <xm:sqref>A152:F159</xm:sqref>
        </x14:conditionalFormatting>
        <x14:conditionalFormatting xmlns:xm="http://schemas.microsoft.com/office/excel/2006/main">
          <x14:cfRule type="cellIs" priority="1090" operator="equal" id="{5120A71F-45EB-4DFE-8D6B-CA3BF9D322D6}">
            <xm:f>'(admin) Drop Down Variables'!$D$64</xm:f>
            <x14:dxf>
              <font>
                <b/>
                <i val="0"/>
                <color auto="1"/>
              </font>
            </x14:dxf>
          </x14:cfRule>
          <x14:cfRule type="cellIs" priority="1091" operator="equal" id="{E4322BE0-99A9-4CE0-9858-31568E79BF31}">
            <xm:f>'(admin) Drop Down Variables'!$D$63</xm:f>
            <x14:dxf>
              <font>
                <b/>
                <i val="0"/>
                <color auto="1"/>
              </font>
            </x14:dxf>
          </x14:cfRule>
          <x14:cfRule type="cellIs" priority="1092" operator="equal" id="{0C216873-A426-4EA2-B2F0-6470EB6E5CAA}">
            <xm:f>'(admin) Drop Down Variables'!$D$60</xm:f>
            <x14:dxf>
              <font>
                <b/>
                <i val="0"/>
                <color auto="1"/>
              </font>
            </x14:dxf>
          </x14:cfRule>
          <x14:cfRule type="cellIs" priority="1093" operator="equal" id="{9E04E74F-526C-493A-A98F-29A8E0CCD4F5}">
            <xm:f>'(admin) Drop Down Variables'!$D$59</xm:f>
            <x14:dxf>
              <font>
                <b/>
                <i val="0"/>
                <color auto="1"/>
              </font>
            </x14:dxf>
          </x14:cfRule>
          <x14:cfRule type="cellIs" priority="1094" operator="equal" id="{6C80D83F-B648-4863-A1D1-B0FDCF92C1D5}">
            <xm:f>'(admin) Drop Down Variables'!$D$58</xm:f>
            <x14:dxf>
              <font>
                <b/>
                <i val="0"/>
                <color auto="1"/>
              </font>
            </x14:dxf>
          </x14:cfRule>
          <x14:cfRule type="cellIs" priority="1095" operator="equal" id="{2BD0BFD4-70B0-47C4-A213-D037928FCA6C}">
            <xm:f>'(admin) Drop Down Variables'!$D$57</xm:f>
            <x14:dxf>
              <font>
                <b/>
                <i val="0"/>
                <color auto="1"/>
              </font>
            </x14:dxf>
          </x14:cfRule>
          <x14:cfRule type="cellIs" priority="1096" operator="equal" id="{756803EC-5075-4CAC-AB80-C982A0D2661F}">
            <xm:f>'(admin) Drop Down Variables'!$D$56</xm:f>
            <x14:dxf>
              <font>
                <b/>
                <i val="0"/>
                <color auto="1"/>
              </font>
            </x14:dxf>
          </x14:cfRule>
          <xm:sqref>A164:C166</xm:sqref>
        </x14:conditionalFormatting>
        <x14:conditionalFormatting xmlns:xm="http://schemas.microsoft.com/office/excel/2006/main">
          <x14:cfRule type="expression" priority="1054" id="{8472EFD3-3A44-4BE7-A4B3-ABEB05034505}">
            <xm:f>$H$104='(admin) Drop Down Variables'!$D$63</xm:f>
            <x14:dxf>
              <fill>
                <patternFill>
                  <bgColor rgb="FF00B050"/>
                </patternFill>
              </fill>
            </x14:dxf>
          </x14:cfRule>
          <x14:cfRule type="expression" priority="1055" id="{ADBADF15-4482-42C7-AD50-63C767D7DC55}">
            <xm:f>$H$104='(admin) Drop Down Variables'!$D$64</xm:f>
            <x14:dxf>
              <fill>
                <patternFill>
                  <bgColor rgb="FFFF0000"/>
                </patternFill>
              </fill>
            </x14:dxf>
          </x14:cfRule>
          <xm:sqref>I105</xm:sqref>
        </x14:conditionalFormatting>
        <x14:conditionalFormatting xmlns:xm="http://schemas.microsoft.com/office/excel/2006/main">
          <x14:cfRule type="expression" priority="1052" id="{24CBD9D2-D236-44B5-A062-AC0A8DF30C67}">
            <xm:f>$H$112='(admin) Drop Down Variables'!$D$63</xm:f>
            <x14:dxf>
              <fill>
                <patternFill>
                  <bgColor rgb="FF00B050"/>
                </patternFill>
              </fill>
            </x14:dxf>
          </x14:cfRule>
          <x14:cfRule type="expression" priority="1053" id="{CD702D80-C175-4357-9A94-08F41B28D46C}">
            <xm:f>$H$112='(admin) Drop Down Variables'!$D$64</xm:f>
            <x14:dxf>
              <fill>
                <patternFill>
                  <bgColor rgb="FFFF0000"/>
                </patternFill>
              </fill>
            </x14:dxf>
          </x14:cfRule>
          <xm:sqref>I113</xm:sqref>
        </x14:conditionalFormatting>
        <x14:conditionalFormatting xmlns:xm="http://schemas.microsoft.com/office/excel/2006/main">
          <x14:cfRule type="expression" priority="1050" id="{3AD3BE93-13F1-4613-A420-7C08C8CED295}">
            <xm:f>$H$120='(admin) Drop Down Variables'!$D$63</xm:f>
            <x14:dxf>
              <fill>
                <patternFill>
                  <bgColor rgb="FF00B050"/>
                </patternFill>
              </fill>
            </x14:dxf>
          </x14:cfRule>
          <x14:cfRule type="expression" priority="1051" id="{056CF4B5-2D0D-4401-9795-C352DAF7E481}">
            <xm:f>$H$120='(admin) Drop Down Variables'!$D$64</xm:f>
            <x14:dxf>
              <fill>
                <patternFill>
                  <bgColor rgb="FFFF0000"/>
                </patternFill>
              </fill>
            </x14:dxf>
          </x14:cfRule>
          <xm:sqref>I121</xm:sqref>
        </x14:conditionalFormatting>
        <x14:conditionalFormatting xmlns:xm="http://schemas.microsoft.com/office/excel/2006/main">
          <x14:cfRule type="expression" priority="1048" id="{FA7A67F9-BC7E-448B-B90A-041B47A67938}">
            <xm:f>$H$124='(admin) Drop Down Variables'!$D$63</xm:f>
            <x14:dxf>
              <fill>
                <patternFill>
                  <bgColor rgb="FF00B050"/>
                </patternFill>
              </fill>
            </x14:dxf>
          </x14:cfRule>
          <x14:cfRule type="expression" priority="1049" id="{950C4747-40E8-4179-B268-6A4DA2FD4F1C}">
            <xm:f>$H$124='(admin) Drop Down Variables'!$D$64</xm:f>
            <x14:dxf>
              <fill>
                <patternFill>
                  <bgColor rgb="FFFF0000"/>
                </patternFill>
              </fill>
            </x14:dxf>
          </x14:cfRule>
          <xm:sqref>I125</xm:sqref>
        </x14:conditionalFormatting>
        <x14:conditionalFormatting xmlns:xm="http://schemas.microsoft.com/office/excel/2006/main">
          <x14:cfRule type="expression" priority="1046" id="{DD02CB13-87E6-4848-9254-F2B53A81E4EE}">
            <xm:f>$H$128='(admin) Drop Down Variables'!$D$63</xm:f>
            <x14:dxf>
              <fill>
                <patternFill>
                  <bgColor rgb="FF00B050"/>
                </patternFill>
              </fill>
            </x14:dxf>
          </x14:cfRule>
          <x14:cfRule type="expression" priority="1047" id="{077462CD-625A-4F2B-9BB4-21AC7AB2C33F}">
            <xm:f>$H$128='(admin) Drop Down Variables'!$D$64</xm:f>
            <x14:dxf>
              <fill>
                <patternFill>
                  <bgColor rgb="FFFF0000"/>
                </patternFill>
              </fill>
            </x14:dxf>
          </x14:cfRule>
          <xm:sqref>I129</xm:sqref>
        </x14:conditionalFormatting>
        <x14:conditionalFormatting xmlns:xm="http://schemas.microsoft.com/office/excel/2006/main">
          <x14:cfRule type="expression" priority="1044" id="{E5073B45-2411-4A60-B02B-2F5A9CCDD97C}">
            <xm:f>$H$132='(admin) Drop Down Variables'!$D$63</xm:f>
            <x14:dxf>
              <fill>
                <patternFill>
                  <bgColor rgb="FF00B050"/>
                </patternFill>
              </fill>
            </x14:dxf>
          </x14:cfRule>
          <x14:cfRule type="expression" priority="1045" id="{FCA13DD9-F57E-4ED1-9BAA-13E05F65D00E}">
            <xm:f>$H$132='(admin) Drop Down Variables'!$D$64</xm:f>
            <x14:dxf>
              <fill>
                <patternFill>
                  <bgColor rgb="FFFF0000"/>
                </patternFill>
              </fill>
            </x14:dxf>
          </x14:cfRule>
          <xm:sqref>I133</xm:sqref>
        </x14:conditionalFormatting>
        <x14:conditionalFormatting xmlns:xm="http://schemas.microsoft.com/office/excel/2006/main">
          <x14:cfRule type="expression" priority="1042" id="{398FF943-7FD9-4E82-AEF7-C5B16C612F20}">
            <xm:f>$H$136='(admin) Drop Down Variables'!$D$63</xm:f>
            <x14:dxf>
              <fill>
                <patternFill>
                  <bgColor rgb="FF00B050"/>
                </patternFill>
              </fill>
            </x14:dxf>
          </x14:cfRule>
          <x14:cfRule type="expression" priority="1043" id="{E4DB6794-8D87-46C6-A4B4-962B689CE97A}">
            <xm:f>$H$136='(admin) Drop Down Variables'!$D$64</xm:f>
            <x14:dxf>
              <fill>
                <patternFill>
                  <bgColor rgb="FFFF0000"/>
                </patternFill>
              </fill>
            </x14:dxf>
          </x14:cfRule>
          <xm:sqref>I137</xm:sqref>
        </x14:conditionalFormatting>
        <x14:conditionalFormatting xmlns:xm="http://schemas.microsoft.com/office/excel/2006/main">
          <x14:cfRule type="expression" priority="1040" id="{2EE26069-632A-4311-B82F-CA6DD4376DF0}">
            <xm:f>$H$140='(admin) Drop Down Variables'!$D$63</xm:f>
            <x14:dxf>
              <fill>
                <patternFill>
                  <bgColor rgb="FF00B050"/>
                </patternFill>
              </fill>
            </x14:dxf>
          </x14:cfRule>
          <x14:cfRule type="expression" priority="1041" id="{CA64D312-1A55-423E-BEE2-449013D887DD}">
            <xm:f>$H$140='(admin) Drop Down Variables'!$D$64</xm:f>
            <x14:dxf>
              <fill>
                <patternFill>
                  <bgColor rgb="FFFF0000"/>
                </patternFill>
              </fill>
            </x14:dxf>
          </x14:cfRule>
          <xm:sqref>I141</xm:sqref>
        </x14:conditionalFormatting>
        <x14:conditionalFormatting xmlns:xm="http://schemas.microsoft.com/office/excel/2006/main">
          <x14:cfRule type="expression" priority="1038" id="{6AB16E17-B13C-4E15-8B26-CF54F1533D2F}">
            <xm:f>$H$144='(admin) Drop Down Variables'!$D$63</xm:f>
            <x14:dxf>
              <fill>
                <patternFill>
                  <bgColor rgb="FF00B050"/>
                </patternFill>
              </fill>
            </x14:dxf>
          </x14:cfRule>
          <x14:cfRule type="expression" priority="1039" id="{086437E4-0C8F-40D5-8D1C-08C9963B488C}">
            <xm:f>$H$144='(admin) Drop Down Variables'!$D$64</xm:f>
            <x14:dxf>
              <fill>
                <patternFill>
                  <bgColor rgb="FFFF0000"/>
                </patternFill>
              </fill>
            </x14:dxf>
          </x14:cfRule>
          <xm:sqref>I145</xm:sqref>
        </x14:conditionalFormatting>
        <x14:conditionalFormatting xmlns:xm="http://schemas.microsoft.com/office/excel/2006/main">
          <x14:cfRule type="expression" priority="1036" id="{492AD5B6-2D27-458E-B919-EABAD9DC8FCC}">
            <xm:f>$H$148='(admin) Drop Down Variables'!$D$63</xm:f>
            <x14:dxf>
              <fill>
                <patternFill>
                  <bgColor rgb="FF00B050"/>
                </patternFill>
              </fill>
            </x14:dxf>
          </x14:cfRule>
          <x14:cfRule type="expression" priority="1037" id="{162B23EE-94B9-41E0-A20E-612E93CFC528}">
            <xm:f>$H$148='(admin) Drop Down Variables'!$D$64</xm:f>
            <x14:dxf>
              <fill>
                <patternFill>
                  <bgColor rgb="FFFF0000"/>
                </patternFill>
              </fill>
            </x14:dxf>
          </x14:cfRule>
          <xm:sqref>I149</xm:sqref>
        </x14:conditionalFormatting>
        <x14:conditionalFormatting xmlns:xm="http://schemas.microsoft.com/office/excel/2006/main">
          <x14:cfRule type="expression" priority="1034" id="{961F7463-F362-4AC7-81CA-A425A618FF93}">
            <xm:f>$H$152='(admin) Drop Down Variables'!$D$63</xm:f>
            <x14:dxf>
              <fill>
                <patternFill>
                  <bgColor rgb="FF00B050"/>
                </patternFill>
              </fill>
            </x14:dxf>
          </x14:cfRule>
          <x14:cfRule type="expression" priority="1035" id="{6AC9BAFD-6328-49DD-B0F4-1E0A326599E2}">
            <xm:f>$H$152='(admin) Drop Down Variables'!$D$64</xm:f>
            <x14:dxf>
              <fill>
                <patternFill>
                  <bgColor rgb="FFFF0000"/>
                </patternFill>
              </fill>
            </x14:dxf>
          </x14:cfRule>
          <xm:sqref>I153</xm:sqref>
        </x14:conditionalFormatting>
        <x14:conditionalFormatting xmlns:xm="http://schemas.microsoft.com/office/excel/2006/main">
          <x14:cfRule type="expression" priority="1032" id="{ADB6549C-18DA-4047-AD8B-BE383EDFB3B7}">
            <xm:f>$H$156='(admin) Drop Down Variables'!$D$63</xm:f>
            <x14:dxf>
              <fill>
                <patternFill>
                  <bgColor rgb="FF00B050"/>
                </patternFill>
              </fill>
            </x14:dxf>
          </x14:cfRule>
          <x14:cfRule type="expression" priority="1033" id="{839DE8CF-F0E2-4A43-A62D-F220FACACFAF}">
            <xm:f>$H$156='(admin) Drop Down Variables'!$D$64</xm:f>
            <x14:dxf>
              <fill>
                <patternFill>
                  <bgColor rgb="FFFF0000"/>
                </patternFill>
              </fill>
            </x14:dxf>
          </x14:cfRule>
          <xm:sqref>I157</xm:sqref>
        </x14:conditionalFormatting>
        <x14:conditionalFormatting xmlns:xm="http://schemas.microsoft.com/office/excel/2006/main">
          <x14:cfRule type="expression" priority="1030" id="{9F511E36-6456-4ACA-B35D-EAA9AC75078E}">
            <xm:f>$H$160='(admin) Drop Down Variables'!$D$63</xm:f>
            <x14:dxf>
              <fill>
                <patternFill>
                  <bgColor rgb="FF00B050"/>
                </patternFill>
              </fill>
            </x14:dxf>
          </x14:cfRule>
          <x14:cfRule type="expression" priority="1031" id="{13336F56-74A9-4819-A1F6-EC13B8FDF184}">
            <xm:f>$H$160='(admin) Drop Down Variables'!$D$64</xm:f>
            <x14:dxf>
              <fill>
                <patternFill>
                  <bgColor rgb="FFFF0000"/>
                </patternFill>
              </fill>
            </x14:dxf>
          </x14:cfRule>
          <xm:sqref>I161</xm:sqref>
        </x14:conditionalFormatting>
        <x14:conditionalFormatting xmlns:xm="http://schemas.microsoft.com/office/excel/2006/main">
          <x14:cfRule type="cellIs" priority="1021" operator="equal" id="{8CD45758-86E2-4C0B-B262-58E70E9C5C18}">
            <xm:f>'(admin) Drop Down Variables'!$D$64</xm:f>
            <x14:dxf>
              <font>
                <b/>
                <i val="0"/>
                <color auto="1"/>
              </font>
            </x14:dxf>
          </x14:cfRule>
          <x14:cfRule type="cellIs" priority="1022" operator="equal" id="{B9B05D96-D7C2-44E5-9FD3-0AF59427D46F}">
            <xm:f>'(admin) Drop Down Variables'!$D$63</xm:f>
            <x14:dxf>
              <font>
                <b/>
                <i val="0"/>
                <color auto="1"/>
              </font>
            </x14:dxf>
          </x14:cfRule>
          <x14:cfRule type="cellIs" priority="1023" operator="equal" id="{0B4A4D70-715B-4ABB-9D85-D891355EC5B6}">
            <xm:f>'(admin) Drop Down Variables'!$D$60</xm:f>
            <x14:dxf>
              <font>
                <b/>
                <i val="0"/>
                <color auto="1"/>
              </font>
            </x14:dxf>
          </x14:cfRule>
          <x14:cfRule type="cellIs" priority="1024" operator="equal" id="{05EC28AA-E239-46A2-A27C-2CEEFDAA8675}">
            <xm:f>'(admin) Drop Down Variables'!$D$59</xm:f>
            <x14:dxf>
              <font>
                <b/>
                <i val="0"/>
                <color auto="1"/>
              </font>
            </x14:dxf>
          </x14:cfRule>
          <x14:cfRule type="cellIs" priority="1025" operator="equal" id="{44CCF601-E424-45BB-A9A3-F1FFCDF6B9FE}">
            <xm:f>'(admin) Drop Down Variables'!$D$58</xm:f>
            <x14:dxf>
              <font>
                <b/>
                <i val="0"/>
                <color auto="1"/>
              </font>
            </x14:dxf>
          </x14:cfRule>
          <x14:cfRule type="cellIs" priority="1026" operator="equal" id="{F853AE5D-9120-4A08-A9F2-16A24022F18F}">
            <xm:f>'(admin) Drop Down Variables'!$D$57</xm:f>
            <x14:dxf>
              <font>
                <b/>
                <i val="0"/>
                <color auto="1"/>
              </font>
            </x14:dxf>
          </x14:cfRule>
          <x14:cfRule type="cellIs" priority="1027" operator="equal" id="{A11B6A33-4B5B-4DCA-A845-BD4AC05E31AF}">
            <xm:f>'(admin) Drop Down Variables'!$D$56</xm:f>
            <x14:dxf>
              <font>
                <b/>
                <i val="0"/>
                <color auto="1"/>
              </font>
            </x14:dxf>
          </x14:cfRule>
          <xm:sqref>A438:E438</xm:sqref>
        </x14:conditionalFormatting>
        <x14:conditionalFormatting xmlns:xm="http://schemas.microsoft.com/office/excel/2006/main">
          <x14:cfRule type="expression" priority="1012" id="{E827D632-0974-4587-8E82-80EDF36E3212}">
            <xm:f>$H$439='(admin) Drop Down Variables'!$D$63</xm:f>
            <x14:dxf>
              <fill>
                <patternFill>
                  <bgColor rgb="FF00B050"/>
                </patternFill>
              </fill>
            </x14:dxf>
          </x14:cfRule>
          <x14:cfRule type="expression" priority="1013" id="{3E988302-F861-47D5-A9AC-C6DB0144876E}">
            <xm:f>$H$439='(admin) Drop Down Variables'!$D$64</xm:f>
            <x14:dxf>
              <fill>
                <patternFill>
                  <bgColor rgb="FFFF0000"/>
                </patternFill>
              </fill>
            </x14:dxf>
          </x14:cfRule>
          <xm:sqref>I439</xm:sqref>
        </x14:conditionalFormatting>
        <x14:conditionalFormatting xmlns:xm="http://schemas.microsoft.com/office/excel/2006/main">
          <x14:cfRule type="expression" priority="1008" id="{F6148BDE-4934-40FE-ACC0-1390AED2C40F}">
            <xm:f>$H$443='(admin) Drop Down Variables'!$D$63</xm:f>
            <x14:dxf>
              <fill>
                <patternFill>
                  <bgColor rgb="FF00B050"/>
                </patternFill>
              </fill>
            </x14:dxf>
          </x14:cfRule>
          <x14:cfRule type="expression" priority="1009" id="{42E6B265-DBB9-49A6-A0CE-9F0660CE99C5}">
            <xm:f>$H$443='(admin) Drop Down Variables'!$D$64</xm:f>
            <x14:dxf>
              <fill>
                <patternFill>
                  <bgColor rgb="FFFF0000"/>
                </patternFill>
              </fill>
            </x14:dxf>
          </x14:cfRule>
          <xm:sqref>I443:I444</xm:sqref>
        </x14:conditionalFormatting>
        <x14:conditionalFormatting xmlns:xm="http://schemas.microsoft.com/office/excel/2006/main">
          <x14:cfRule type="cellIs" priority="1001" operator="equal" id="{F0F87B68-826E-4F6E-9078-C6C66DB9B92B}">
            <xm:f>'(admin) Drop Down Variables'!$D$64</xm:f>
            <x14:dxf>
              <font>
                <b/>
                <i val="0"/>
                <color auto="1"/>
              </font>
            </x14:dxf>
          </x14:cfRule>
          <x14:cfRule type="cellIs" priority="1002" operator="equal" id="{A14994A8-F382-4B60-8DA1-F58E4E47AC9C}">
            <xm:f>'(admin) Drop Down Variables'!$D$63</xm:f>
            <x14:dxf>
              <font>
                <b/>
                <i val="0"/>
                <color auto="1"/>
              </font>
            </x14:dxf>
          </x14:cfRule>
          <x14:cfRule type="cellIs" priority="1003" operator="equal" id="{8DDF94F4-34AA-4E51-AE11-BC368D275C17}">
            <xm:f>'(admin) Drop Down Variables'!$D$60</xm:f>
            <x14:dxf>
              <font>
                <b/>
                <i val="0"/>
                <color auto="1"/>
              </font>
            </x14:dxf>
          </x14:cfRule>
          <x14:cfRule type="cellIs" priority="1004" operator="equal" id="{32D27CF2-5472-4836-A311-CCBE8C6A12C1}">
            <xm:f>'(admin) Drop Down Variables'!$D$59</xm:f>
            <x14:dxf>
              <font>
                <b/>
                <i val="0"/>
                <color auto="1"/>
              </font>
            </x14:dxf>
          </x14:cfRule>
          <x14:cfRule type="cellIs" priority="1005" operator="equal" id="{9155228A-88E8-4633-B851-D12592B6D8D4}">
            <xm:f>'(admin) Drop Down Variables'!$D$58</xm:f>
            <x14:dxf>
              <font>
                <b/>
                <i val="0"/>
                <color auto="1"/>
              </font>
            </x14:dxf>
          </x14:cfRule>
          <x14:cfRule type="cellIs" priority="1006" operator="equal" id="{70CDD5E8-4176-40F7-9AC9-429CF46B01B5}">
            <xm:f>'(admin) Drop Down Variables'!$D$57</xm:f>
            <x14:dxf>
              <font>
                <b/>
                <i val="0"/>
                <color auto="1"/>
              </font>
            </x14:dxf>
          </x14:cfRule>
          <x14:cfRule type="cellIs" priority="1007" operator="equal" id="{DE853207-EA92-4AD7-9959-8AFB74F5B090}">
            <xm:f>'(admin) Drop Down Variables'!$D$56</xm:f>
            <x14:dxf>
              <font>
                <b/>
                <i val="0"/>
                <color auto="1"/>
              </font>
            </x14:dxf>
          </x14:cfRule>
          <xm:sqref>A447:F454</xm:sqref>
        </x14:conditionalFormatting>
        <x14:conditionalFormatting xmlns:xm="http://schemas.microsoft.com/office/excel/2006/main">
          <x14:cfRule type="expression" priority="999" id="{26D3D287-7C35-496A-9D63-849CAB27E860}">
            <xm:f>$H$447='(admin) Drop Down Variables'!$D$63</xm:f>
            <x14:dxf>
              <fill>
                <patternFill>
                  <bgColor rgb="FF00B050"/>
                </patternFill>
              </fill>
            </x14:dxf>
          </x14:cfRule>
          <x14:cfRule type="expression" priority="1000" id="{53CFD9CC-9467-4EBF-941A-0676E456CB07}">
            <xm:f>$H$447='(admin) Drop Down Variables'!$D$64</xm:f>
            <x14:dxf>
              <fill>
                <patternFill>
                  <bgColor rgb="FFFF0000"/>
                </patternFill>
              </fill>
            </x14:dxf>
          </x14:cfRule>
          <xm:sqref>I447</xm:sqref>
        </x14:conditionalFormatting>
        <x14:conditionalFormatting xmlns:xm="http://schemas.microsoft.com/office/excel/2006/main">
          <x14:cfRule type="expression" priority="997" id="{BF12421A-3508-4800-831D-743EB96A7324}">
            <xm:f>$H$451='(admin) Drop Down Variables'!$D$63</xm:f>
            <x14:dxf>
              <fill>
                <patternFill>
                  <bgColor rgb="FF00B050"/>
                </patternFill>
              </fill>
            </x14:dxf>
          </x14:cfRule>
          <x14:cfRule type="expression" priority="998" id="{84F5AB10-3531-4E1A-BB44-BBFCD080EFAB}">
            <xm:f>$H$451='(admin) Drop Down Variables'!$D$64</xm:f>
            <x14:dxf>
              <fill>
                <patternFill>
                  <bgColor rgb="FFFF0000"/>
                </patternFill>
              </fill>
            </x14:dxf>
          </x14:cfRule>
          <xm:sqref>I451:I452</xm:sqref>
        </x14:conditionalFormatting>
        <x14:conditionalFormatting xmlns:xm="http://schemas.microsoft.com/office/excel/2006/main">
          <x14:cfRule type="cellIs" priority="990" operator="equal" id="{D4E67718-EAE3-4CCF-B6B3-D10506DE1824}">
            <xm:f>'(admin) Drop Down Variables'!$D$64</xm:f>
            <x14:dxf>
              <font>
                <b/>
                <i val="0"/>
                <color auto="1"/>
              </font>
            </x14:dxf>
          </x14:cfRule>
          <x14:cfRule type="cellIs" priority="991" operator="equal" id="{87C124FC-215E-4484-9BC0-F031A6BCFFCC}">
            <xm:f>'(admin) Drop Down Variables'!$D$63</xm:f>
            <x14:dxf>
              <font>
                <b/>
                <i val="0"/>
                <color auto="1"/>
              </font>
            </x14:dxf>
          </x14:cfRule>
          <x14:cfRule type="cellIs" priority="992" operator="equal" id="{DA87BB7C-B402-4643-A7B7-384242805F0E}">
            <xm:f>'(admin) Drop Down Variables'!$D$60</xm:f>
            <x14:dxf>
              <font>
                <b/>
                <i val="0"/>
                <color auto="1"/>
              </font>
            </x14:dxf>
          </x14:cfRule>
          <x14:cfRule type="cellIs" priority="993" operator="equal" id="{91E66163-42C7-45F3-8CA9-E61FF970F813}">
            <xm:f>'(admin) Drop Down Variables'!$D$59</xm:f>
            <x14:dxf>
              <font>
                <b/>
                <i val="0"/>
                <color auto="1"/>
              </font>
            </x14:dxf>
          </x14:cfRule>
          <x14:cfRule type="cellIs" priority="994" operator="equal" id="{37070545-06EC-442F-9968-9E9BBA6D904E}">
            <xm:f>'(admin) Drop Down Variables'!$D$58</xm:f>
            <x14:dxf>
              <font>
                <b/>
                <i val="0"/>
                <color auto="1"/>
              </font>
            </x14:dxf>
          </x14:cfRule>
          <x14:cfRule type="cellIs" priority="995" operator="equal" id="{08341C66-E578-4B83-8FE7-286228329973}">
            <xm:f>'(admin) Drop Down Variables'!$D$57</xm:f>
            <x14:dxf>
              <font>
                <b/>
                <i val="0"/>
                <color auto="1"/>
              </font>
            </x14:dxf>
          </x14:cfRule>
          <x14:cfRule type="cellIs" priority="996" operator="equal" id="{AF84A73A-750F-45BA-B1ED-3411BF896CA1}">
            <xm:f>'(admin) Drop Down Variables'!$D$56</xm:f>
            <x14:dxf>
              <font>
                <b/>
                <i val="0"/>
                <color auto="1"/>
              </font>
            </x14:dxf>
          </x14:cfRule>
          <xm:sqref>A455:F462</xm:sqref>
        </x14:conditionalFormatting>
        <x14:conditionalFormatting xmlns:xm="http://schemas.microsoft.com/office/excel/2006/main">
          <x14:cfRule type="expression" priority="988" id="{65DCC2FF-B9D9-4535-A998-988EB83BAA1D}">
            <xm:f>$H$455='(admin) Drop Down Variables'!$D$63</xm:f>
            <x14:dxf>
              <fill>
                <patternFill>
                  <bgColor rgb="FF00B050"/>
                </patternFill>
              </fill>
            </x14:dxf>
          </x14:cfRule>
          <x14:cfRule type="expression" priority="989" id="{87E94922-F272-4E1B-8CAA-98A19F78E860}">
            <xm:f>$H$455='(admin) Drop Down Variables'!$D$64</xm:f>
            <x14:dxf>
              <fill>
                <patternFill>
                  <bgColor rgb="FFFF0000"/>
                </patternFill>
              </fill>
            </x14:dxf>
          </x14:cfRule>
          <xm:sqref>I455</xm:sqref>
        </x14:conditionalFormatting>
        <x14:conditionalFormatting xmlns:xm="http://schemas.microsoft.com/office/excel/2006/main">
          <x14:cfRule type="expression" priority="986" id="{971D693C-22C9-47E9-B70A-A85D1EB3D587}">
            <xm:f>$H$459='(admin) Drop Down Variables'!$D$63</xm:f>
            <x14:dxf>
              <fill>
                <patternFill>
                  <bgColor rgb="FF00B050"/>
                </patternFill>
              </fill>
            </x14:dxf>
          </x14:cfRule>
          <x14:cfRule type="expression" priority="987" id="{98B7C634-0EA4-474B-A82B-1D4D6DD8C22E}">
            <xm:f>$H$459='(admin) Drop Down Variables'!$D$64</xm:f>
            <x14:dxf>
              <fill>
                <patternFill>
                  <bgColor rgb="FFFF0000"/>
                </patternFill>
              </fill>
            </x14:dxf>
          </x14:cfRule>
          <xm:sqref>I459:I460</xm:sqref>
        </x14:conditionalFormatting>
        <x14:conditionalFormatting xmlns:xm="http://schemas.microsoft.com/office/excel/2006/main">
          <x14:cfRule type="cellIs" priority="979" operator="equal" id="{8B64D52C-A935-4793-BABD-2A8176C45A5B}">
            <xm:f>'(admin) Drop Down Variables'!$D$64</xm:f>
            <x14:dxf>
              <font>
                <b/>
                <i val="0"/>
                <color auto="1"/>
              </font>
            </x14:dxf>
          </x14:cfRule>
          <x14:cfRule type="cellIs" priority="980" operator="equal" id="{BB7034B9-0669-4EDE-AEDA-EA9361C8C0F3}">
            <xm:f>'(admin) Drop Down Variables'!$D$63</xm:f>
            <x14:dxf>
              <font>
                <b/>
                <i val="0"/>
                <color auto="1"/>
              </font>
            </x14:dxf>
          </x14:cfRule>
          <x14:cfRule type="cellIs" priority="981" operator="equal" id="{B9C2857F-453E-4E9E-8347-135091DBEA3B}">
            <xm:f>'(admin) Drop Down Variables'!$D$60</xm:f>
            <x14:dxf>
              <font>
                <b/>
                <i val="0"/>
                <color auto="1"/>
              </font>
            </x14:dxf>
          </x14:cfRule>
          <x14:cfRule type="cellIs" priority="982" operator="equal" id="{72564340-ED5D-48F4-A3D3-1642038A27EF}">
            <xm:f>'(admin) Drop Down Variables'!$D$59</xm:f>
            <x14:dxf>
              <font>
                <b/>
                <i val="0"/>
                <color auto="1"/>
              </font>
            </x14:dxf>
          </x14:cfRule>
          <x14:cfRule type="cellIs" priority="983" operator="equal" id="{1615E848-732F-4FAE-8C3D-098E9C4064CC}">
            <xm:f>'(admin) Drop Down Variables'!$D$58</xm:f>
            <x14:dxf>
              <font>
                <b/>
                <i val="0"/>
                <color auto="1"/>
              </font>
            </x14:dxf>
          </x14:cfRule>
          <x14:cfRule type="cellIs" priority="984" operator="equal" id="{1B063225-0099-443B-BEFA-DB7E029FE9FB}">
            <xm:f>'(admin) Drop Down Variables'!$D$57</xm:f>
            <x14:dxf>
              <font>
                <b/>
                <i val="0"/>
                <color auto="1"/>
              </font>
            </x14:dxf>
          </x14:cfRule>
          <x14:cfRule type="cellIs" priority="985" operator="equal" id="{2BD3F044-7E4F-48DD-892D-FC4C2C014834}">
            <xm:f>'(admin) Drop Down Variables'!$D$56</xm:f>
            <x14:dxf>
              <font>
                <b/>
                <i val="0"/>
                <color auto="1"/>
              </font>
            </x14:dxf>
          </x14:cfRule>
          <xm:sqref>A463:F470</xm:sqref>
        </x14:conditionalFormatting>
        <x14:conditionalFormatting xmlns:xm="http://schemas.microsoft.com/office/excel/2006/main">
          <x14:cfRule type="expression" priority="977" id="{2C76B597-7BDE-4BE7-BF03-2058FFD15055}">
            <xm:f>$H$463='(admin) Drop Down Variables'!$D$63</xm:f>
            <x14:dxf>
              <fill>
                <patternFill>
                  <bgColor rgb="FF00B050"/>
                </patternFill>
              </fill>
            </x14:dxf>
          </x14:cfRule>
          <x14:cfRule type="expression" priority="978" id="{EDE6F8B2-3668-4208-8370-13112BE3F332}">
            <xm:f>$H$463='(admin) Drop Down Variables'!$D$64</xm:f>
            <x14:dxf>
              <fill>
                <patternFill>
                  <bgColor rgb="FFFF0000"/>
                </patternFill>
              </fill>
            </x14:dxf>
          </x14:cfRule>
          <xm:sqref>I463</xm:sqref>
        </x14:conditionalFormatting>
        <x14:conditionalFormatting xmlns:xm="http://schemas.microsoft.com/office/excel/2006/main">
          <x14:cfRule type="expression" priority="975" id="{A00A00AA-8B81-4763-809E-5F57EB2ED386}">
            <xm:f>$H$467='(admin) Drop Down Variables'!$D$63</xm:f>
            <x14:dxf>
              <fill>
                <patternFill>
                  <bgColor rgb="FF00B050"/>
                </patternFill>
              </fill>
            </x14:dxf>
          </x14:cfRule>
          <x14:cfRule type="expression" priority="976" id="{BD63EB82-7AF7-40A3-9D87-A4E3D6E63E0F}">
            <xm:f>$H$467='(admin) Drop Down Variables'!$D$64</xm:f>
            <x14:dxf>
              <fill>
                <patternFill>
                  <bgColor rgb="FFFF0000"/>
                </patternFill>
              </fill>
            </x14:dxf>
          </x14:cfRule>
          <xm:sqref>I467:I468</xm:sqref>
        </x14:conditionalFormatting>
        <x14:conditionalFormatting xmlns:xm="http://schemas.microsoft.com/office/excel/2006/main">
          <x14:cfRule type="cellIs" priority="968" operator="equal" id="{ABF01F5A-834C-494D-B699-BAB5D665D474}">
            <xm:f>'(admin) Drop Down Variables'!$D$64</xm:f>
            <x14:dxf>
              <font>
                <b/>
                <i val="0"/>
                <color auto="1"/>
              </font>
            </x14:dxf>
          </x14:cfRule>
          <x14:cfRule type="cellIs" priority="969" operator="equal" id="{3A0D9EDE-AB70-4AEA-815B-23DFF2517D7C}">
            <xm:f>'(admin) Drop Down Variables'!$D$63</xm:f>
            <x14:dxf>
              <font>
                <b/>
                <i val="0"/>
                <color auto="1"/>
              </font>
            </x14:dxf>
          </x14:cfRule>
          <x14:cfRule type="cellIs" priority="970" operator="equal" id="{F70F460C-05ED-4C25-AB4D-179E0466F987}">
            <xm:f>'(admin) Drop Down Variables'!$D$60</xm:f>
            <x14:dxf>
              <font>
                <b/>
                <i val="0"/>
                <color auto="1"/>
              </font>
            </x14:dxf>
          </x14:cfRule>
          <x14:cfRule type="cellIs" priority="971" operator="equal" id="{B74AB6FC-0D12-4C10-AC64-90FF245AA2F7}">
            <xm:f>'(admin) Drop Down Variables'!$D$59</xm:f>
            <x14:dxf>
              <font>
                <b/>
                <i val="0"/>
                <color auto="1"/>
              </font>
            </x14:dxf>
          </x14:cfRule>
          <x14:cfRule type="cellIs" priority="972" operator="equal" id="{9D0E9341-F0A6-4B37-AE93-03B0026DA858}">
            <xm:f>'(admin) Drop Down Variables'!$D$58</xm:f>
            <x14:dxf>
              <font>
                <b/>
                <i val="0"/>
                <color auto="1"/>
              </font>
            </x14:dxf>
          </x14:cfRule>
          <x14:cfRule type="cellIs" priority="973" operator="equal" id="{3DA972D5-2094-43B2-9EC6-59CE2F757B9E}">
            <xm:f>'(admin) Drop Down Variables'!$D$57</xm:f>
            <x14:dxf>
              <font>
                <b/>
                <i val="0"/>
                <color auto="1"/>
              </font>
            </x14:dxf>
          </x14:cfRule>
          <x14:cfRule type="cellIs" priority="974" operator="equal" id="{15144B23-DBF5-4CF7-84D7-B1119127FF69}">
            <xm:f>'(admin) Drop Down Variables'!$D$56</xm:f>
            <x14:dxf>
              <font>
                <b/>
                <i val="0"/>
                <color auto="1"/>
              </font>
            </x14:dxf>
          </x14:cfRule>
          <xm:sqref>A471:F476</xm:sqref>
        </x14:conditionalFormatting>
        <x14:conditionalFormatting xmlns:xm="http://schemas.microsoft.com/office/excel/2006/main">
          <x14:cfRule type="expression" priority="966" id="{E1409163-F8DE-478D-BADF-210A27B0A656}">
            <xm:f>$H$475='(admin) Drop Down Variables'!$D$63</xm:f>
            <x14:dxf>
              <fill>
                <patternFill>
                  <bgColor rgb="FF00B050"/>
                </patternFill>
              </fill>
            </x14:dxf>
          </x14:cfRule>
          <x14:cfRule type="expression" priority="967" id="{0D6B77C5-403E-44A8-B8AF-FDAFF822DC70}">
            <xm:f>$H$475='(admin) Drop Down Variables'!$D$64</xm:f>
            <x14:dxf>
              <fill>
                <patternFill>
                  <bgColor rgb="FFFF0000"/>
                </patternFill>
              </fill>
            </x14:dxf>
          </x14:cfRule>
          <xm:sqref>I475</xm:sqref>
        </x14:conditionalFormatting>
        <x14:conditionalFormatting xmlns:xm="http://schemas.microsoft.com/office/excel/2006/main">
          <x14:cfRule type="cellIs" priority="959" operator="equal" id="{D0AD7C65-7620-410B-B637-56DB7BCB1F6D}">
            <xm:f>'(admin) Drop Down Variables'!$D$64</xm:f>
            <x14:dxf>
              <font>
                <b/>
                <i val="0"/>
                <color auto="1"/>
              </font>
            </x14:dxf>
          </x14:cfRule>
          <x14:cfRule type="cellIs" priority="960" operator="equal" id="{C8BD48B9-00E5-4231-8E5D-7F06874E3182}">
            <xm:f>'(admin) Drop Down Variables'!$D$63</xm:f>
            <x14:dxf>
              <font>
                <b/>
                <i val="0"/>
                <color auto="1"/>
              </font>
            </x14:dxf>
          </x14:cfRule>
          <x14:cfRule type="cellIs" priority="961" operator="equal" id="{859F4EAA-6756-44F2-A00A-DDDB5BE8A921}">
            <xm:f>'(admin) Drop Down Variables'!$D$60</xm:f>
            <x14:dxf>
              <font>
                <b/>
                <i val="0"/>
                <color auto="1"/>
              </font>
            </x14:dxf>
          </x14:cfRule>
          <x14:cfRule type="cellIs" priority="962" operator="equal" id="{5D79A9D2-5E79-4456-B7C6-F076CB9B0A32}">
            <xm:f>'(admin) Drop Down Variables'!$D$59</xm:f>
            <x14:dxf>
              <font>
                <b/>
                <i val="0"/>
                <color auto="1"/>
              </font>
            </x14:dxf>
          </x14:cfRule>
          <x14:cfRule type="cellIs" priority="963" operator="equal" id="{D6D9351E-5A09-4B5F-9D73-7D7C0B7DCF92}">
            <xm:f>'(admin) Drop Down Variables'!$D$58</xm:f>
            <x14:dxf>
              <font>
                <b/>
                <i val="0"/>
                <color auto="1"/>
              </font>
            </x14:dxf>
          </x14:cfRule>
          <x14:cfRule type="cellIs" priority="964" operator="equal" id="{609E8BE4-6085-4452-AF95-61638406297E}">
            <xm:f>'(admin) Drop Down Variables'!$D$57</xm:f>
            <x14:dxf>
              <font>
                <b/>
                <i val="0"/>
                <color auto="1"/>
              </font>
            </x14:dxf>
          </x14:cfRule>
          <x14:cfRule type="cellIs" priority="965" operator="equal" id="{F39973F5-58C2-4F06-BAEE-F332473CE334}">
            <xm:f>'(admin) Drop Down Variables'!$D$56</xm:f>
            <x14:dxf>
              <font>
                <b/>
                <i val="0"/>
                <color auto="1"/>
              </font>
            </x14:dxf>
          </x14:cfRule>
          <xm:sqref>J479:XFD486</xm:sqref>
        </x14:conditionalFormatting>
        <x14:conditionalFormatting xmlns:xm="http://schemas.microsoft.com/office/excel/2006/main">
          <x14:cfRule type="cellIs" priority="952" operator="equal" id="{E2B9D8C8-FFAC-4289-B73C-8EE2BF7B7BA6}">
            <xm:f>'(admin) Drop Down Variables'!$D$64</xm:f>
            <x14:dxf>
              <font>
                <b/>
                <i val="0"/>
                <color auto="1"/>
              </font>
            </x14:dxf>
          </x14:cfRule>
          <x14:cfRule type="cellIs" priority="953" operator="equal" id="{953161EC-1CF5-4708-B1BE-6931A132B5D4}">
            <xm:f>'(admin) Drop Down Variables'!$D$63</xm:f>
            <x14:dxf>
              <font>
                <b/>
                <i val="0"/>
                <color auto="1"/>
              </font>
            </x14:dxf>
          </x14:cfRule>
          <x14:cfRule type="cellIs" priority="954" operator="equal" id="{7C4735D0-F117-46DF-93A6-DA6C7F936D36}">
            <xm:f>'(admin) Drop Down Variables'!$D$60</xm:f>
            <x14:dxf>
              <font>
                <b/>
                <i val="0"/>
                <color auto="1"/>
              </font>
            </x14:dxf>
          </x14:cfRule>
          <x14:cfRule type="cellIs" priority="955" operator="equal" id="{D05CB9C2-EBC5-4D15-BA7E-E699C0E14D06}">
            <xm:f>'(admin) Drop Down Variables'!$D$59</xm:f>
            <x14:dxf>
              <font>
                <b/>
                <i val="0"/>
                <color auto="1"/>
              </font>
            </x14:dxf>
          </x14:cfRule>
          <x14:cfRule type="cellIs" priority="956" operator="equal" id="{92BA7EA5-1D58-452B-B627-64E333D26D9E}">
            <xm:f>'(admin) Drop Down Variables'!$D$58</xm:f>
            <x14:dxf>
              <font>
                <b/>
                <i val="0"/>
                <color auto="1"/>
              </font>
            </x14:dxf>
          </x14:cfRule>
          <x14:cfRule type="cellIs" priority="957" operator="equal" id="{892CF86A-0E9E-45D1-87FC-F85D7FA9654B}">
            <xm:f>'(admin) Drop Down Variables'!$D$57</xm:f>
            <x14:dxf>
              <font>
                <b/>
                <i val="0"/>
                <color auto="1"/>
              </font>
            </x14:dxf>
          </x14:cfRule>
          <x14:cfRule type="cellIs" priority="958" operator="equal" id="{F0192B68-4082-44E6-80B9-BFDD599D2A37}">
            <xm:f>'(admin) Drop Down Variables'!$D$56</xm:f>
            <x14:dxf>
              <font>
                <b/>
                <i val="0"/>
                <color auto="1"/>
              </font>
            </x14:dxf>
          </x14:cfRule>
          <xm:sqref>A487:F494</xm:sqref>
        </x14:conditionalFormatting>
        <x14:conditionalFormatting xmlns:xm="http://schemas.microsoft.com/office/excel/2006/main">
          <x14:cfRule type="cellIs" priority="945" operator="equal" id="{1A3071D8-0996-493B-BAAE-CDB41E9B1A56}">
            <xm:f>'(admin) Drop Down Variables'!$D$64</xm:f>
            <x14:dxf>
              <font>
                <b/>
                <i val="0"/>
                <color auto="1"/>
              </font>
            </x14:dxf>
          </x14:cfRule>
          <x14:cfRule type="cellIs" priority="946" operator="equal" id="{3A2F9F52-4EAC-4C6F-9853-2064D750C559}">
            <xm:f>'(admin) Drop Down Variables'!$D$63</xm:f>
            <x14:dxf>
              <font>
                <b/>
                <i val="0"/>
                <color auto="1"/>
              </font>
            </x14:dxf>
          </x14:cfRule>
          <x14:cfRule type="cellIs" priority="947" operator="equal" id="{F19F6000-301F-4FE5-ADD0-841E19F5F314}">
            <xm:f>'(admin) Drop Down Variables'!$D$60</xm:f>
            <x14:dxf>
              <font>
                <b/>
                <i val="0"/>
                <color auto="1"/>
              </font>
            </x14:dxf>
          </x14:cfRule>
          <x14:cfRule type="cellIs" priority="948" operator="equal" id="{22B5231F-34D0-4C26-AD24-61CDC0A46F56}">
            <xm:f>'(admin) Drop Down Variables'!$D$59</xm:f>
            <x14:dxf>
              <font>
                <b/>
                <i val="0"/>
                <color auto="1"/>
              </font>
            </x14:dxf>
          </x14:cfRule>
          <x14:cfRule type="cellIs" priority="949" operator="equal" id="{720819FE-20B6-483D-B437-D5AB5CEF7D73}">
            <xm:f>'(admin) Drop Down Variables'!$D$58</xm:f>
            <x14:dxf>
              <font>
                <b/>
                <i val="0"/>
                <color auto="1"/>
              </font>
            </x14:dxf>
          </x14:cfRule>
          <x14:cfRule type="cellIs" priority="950" operator="equal" id="{E5E59E2D-6389-4614-A8BA-3A0E3BCA0589}">
            <xm:f>'(admin) Drop Down Variables'!$D$57</xm:f>
            <x14:dxf>
              <font>
                <b/>
                <i val="0"/>
                <color auto="1"/>
              </font>
            </x14:dxf>
          </x14:cfRule>
          <x14:cfRule type="cellIs" priority="951" operator="equal" id="{165A5F3E-2C37-4DE5-BB79-2DB5DC875FEE}">
            <xm:f>'(admin) Drop Down Variables'!$D$56</xm:f>
            <x14:dxf>
              <font>
                <b/>
                <i val="0"/>
                <color auto="1"/>
              </font>
            </x14:dxf>
          </x14:cfRule>
          <xm:sqref>A495:F502</xm:sqref>
        </x14:conditionalFormatting>
        <x14:conditionalFormatting xmlns:xm="http://schemas.microsoft.com/office/excel/2006/main">
          <x14:cfRule type="cellIs" priority="938" operator="equal" id="{B4AC366D-5F38-4D9A-BDD6-245737256EFC}">
            <xm:f>'(admin) Drop Down Variables'!$D$64</xm:f>
            <x14:dxf>
              <font>
                <b/>
                <i val="0"/>
                <color auto="1"/>
              </font>
            </x14:dxf>
          </x14:cfRule>
          <x14:cfRule type="cellIs" priority="939" operator="equal" id="{0CCF4594-B1CF-4C5F-844E-5A6FF0338BB9}">
            <xm:f>'(admin) Drop Down Variables'!$D$63</xm:f>
            <x14:dxf>
              <font>
                <b/>
                <i val="0"/>
                <color auto="1"/>
              </font>
            </x14:dxf>
          </x14:cfRule>
          <x14:cfRule type="cellIs" priority="940" operator="equal" id="{9ECDE99A-730B-422E-8960-28D693C74DC7}">
            <xm:f>'(admin) Drop Down Variables'!$D$60</xm:f>
            <x14:dxf>
              <font>
                <b/>
                <i val="0"/>
                <color auto="1"/>
              </font>
            </x14:dxf>
          </x14:cfRule>
          <x14:cfRule type="cellIs" priority="941" operator="equal" id="{E9BA0161-738B-4704-8189-23CA652FA510}">
            <xm:f>'(admin) Drop Down Variables'!$D$59</xm:f>
            <x14:dxf>
              <font>
                <b/>
                <i val="0"/>
                <color auto="1"/>
              </font>
            </x14:dxf>
          </x14:cfRule>
          <x14:cfRule type="cellIs" priority="942" operator="equal" id="{D5189956-B88C-47FD-A993-3A305FBE5D28}">
            <xm:f>'(admin) Drop Down Variables'!$D$58</xm:f>
            <x14:dxf>
              <font>
                <b/>
                <i val="0"/>
                <color auto="1"/>
              </font>
            </x14:dxf>
          </x14:cfRule>
          <x14:cfRule type="cellIs" priority="943" operator="equal" id="{5D94C768-583B-4001-94A7-C29B00CB88A3}">
            <xm:f>'(admin) Drop Down Variables'!$D$57</xm:f>
            <x14:dxf>
              <font>
                <b/>
                <i val="0"/>
                <color auto="1"/>
              </font>
            </x14:dxf>
          </x14:cfRule>
          <x14:cfRule type="cellIs" priority="944" operator="equal" id="{1FDF9C90-61FE-4E03-8F61-3FA6A6ABB7EA}">
            <xm:f>'(admin) Drop Down Variables'!$D$56</xm:f>
            <x14:dxf>
              <font>
                <b/>
                <i val="0"/>
                <color auto="1"/>
              </font>
            </x14:dxf>
          </x14:cfRule>
          <xm:sqref>A503:F510</xm:sqref>
        </x14:conditionalFormatting>
        <x14:conditionalFormatting xmlns:xm="http://schemas.microsoft.com/office/excel/2006/main">
          <x14:cfRule type="cellIs" priority="931" operator="equal" id="{8FE88DC5-B974-428A-8266-A5AD2688D204}">
            <xm:f>'(admin) Drop Down Variables'!$D$64</xm:f>
            <x14:dxf>
              <font>
                <b/>
                <i val="0"/>
                <color auto="1"/>
              </font>
            </x14:dxf>
          </x14:cfRule>
          <x14:cfRule type="cellIs" priority="932" operator="equal" id="{7A04FBA2-D6C0-4440-8A73-1F0CD1326817}">
            <xm:f>'(admin) Drop Down Variables'!$D$63</xm:f>
            <x14:dxf>
              <font>
                <b/>
                <i val="0"/>
                <color auto="1"/>
              </font>
            </x14:dxf>
          </x14:cfRule>
          <x14:cfRule type="cellIs" priority="933" operator="equal" id="{4A1E5B7B-6EE1-40D7-A775-9AF1A72FB2E7}">
            <xm:f>'(admin) Drop Down Variables'!$D$60</xm:f>
            <x14:dxf>
              <font>
                <b/>
                <i val="0"/>
                <color auto="1"/>
              </font>
            </x14:dxf>
          </x14:cfRule>
          <x14:cfRule type="cellIs" priority="934" operator="equal" id="{29E44712-EAD4-47AC-B3F1-180233BF51C7}">
            <xm:f>'(admin) Drop Down Variables'!$D$59</xm:f>
            <x14:dxf>
              <font>
                <b/>
                <i val="0"/>
                <color auto="1"/>
              </font>
            </x14:dxf>
          </x14:cfRule>
          <x14:cfRule type="cellIs" priority="935" operator="equal" id="{5DD5254D-9AE2-4EA3-9308-AABFC133A4A2}">
            <xm:f>'(admin) Drop Down Variables'!$D$58</xm:f>
            <x14:dxf>
              <font>
                <b/>
                <i val="0"/>
                <color auto="1"/>
              </font>
            </x14:dxf>
          </x14:cfRule>
          <x14:cfRule type="cellIs" priority="936" operator="equal" id="{833B92BC-EB8B-4D2A-A666-EE7A99061B39}">
            <xm:f>'(admin) Drop Down Variables'!$D$57</xm:f>
            <x14:dxf>
              <font>
                <b/>
                <i val="0"/>
                <color auto="1"/>
              </font>
            </x14:dxf>
          </x14:cfRule>
          <x14:cfRule type="cellIs" priority="937" operator="equal" id="{5AB059D0-F554-44DA-AA47-7B3FF75C673B}">
            <xm:f>'(admin) Drop Down Variables'!$D$56</xm:f>
            <x14:dxf>
              <font>
                <b/>
                <i val="0"/>
                <color auto="1"/>
              </font>
            </x14:dxf>
          </x14:cfRule>
          <xm:sqref>A511:F518</xm:sqref>
        </x14:conditionalFormatting>
        <x14:conditionalFormatting xmlns:xm="http://schemas.microsoft.com/office/excel/2006/main">
          <x14:cfRule type="cellIs" priority="894" operator="equal" id="{E5F497A9-9219-4007-A0BC-229349EADD9B}">
            <xm:f>'(admin) Drop Down Variables'!$D$64</xm:f>
            <x14:dxf>
              <font>
                <b/>
                <i val="0"/>
                <color rgb="FFFF0000"/>
              </font>
            </x14:dxf>
          </x14:cfRule>
          <x14:cfRule type="cellIs" priority="895" operator="equal" id="{ABFE699C-40D2-45E7-BA05-D246CF564AF2}">
            <xm:f>'(admin) Drop Down Variables'!$D$63</xm:f>
            <x14:dxf>
              <font>
                <b/>
                <i val="0"/>
                <color rgb="FF00B050"/>
              </font>
            </x14:dxf>
          </x14:cfRule>
          <x14:cfRule type="cellIs" priority="896" operator="equal" id="{C61BBD16-E946-4F41-A311-6C5B0B0E6786}">
            <xm:f>'(admin) Drop Down Variables'!$D$60</xm:f>
            <x14:dxf>
              <font>
                <b/>
                <i val="0"/>
                <color rgb="FFFFC000"/>
              </font>
            </x14:dxf>
          </x14:cfRule>
          <x14:cfRule type="cellIs" priority="897" operator="equal" id="{D7B47362-CA40-41EE-A46B-F734BB27B10F}">
            <xm:f>'(admin) Drop Down Variables'!$D$59</xm:f>
            <x14:dxf>
              <font>
                <color rgb="FF92D050"/>
              </font>
            </x14:dxf>
          </x14:cfRule>
          <x14:cfRule type="cellIs" priority="898" operator="equal" id="{6E4EE31B-F0A4-44DD-90D2-082417EB1CAC}">
            <xm:f>'(admin) Drop Down Variables'!$D$58</xm:f>
            <x14:dxf>
              <font>
                <b/>
                <i val="0"/>
                <color rgb="FFFF0000"/>
              </font>
            </x14:dxf>
          </x14:cfRule>
          <x14:cfRule type="cellIs" priority="900" operator="equal" id="{D736A49D-A3DC-4ADB-8CD3-83634C15D4B8}">
            <xm:f>'(admin) Drop Down Variables'!$D$56</xm:f>
            <x14:dxf>
              <font>
                <b/>
                <i val="0"/>
                <color rgb="FF00B050"/>
              </font>
            </x14:dxf>
          </x14:cfRule>
          <xm:sqref>G418:H427</xm:sqref>
        </x14:conditionalFormatting>
        <x14:conditionalFormatting xmlns:xm="http://schemas.microsoft.com/office/excel/2006/main">
          <x14:cfRule type="expression" priority="892" id="{C800A369-2E3E-420D-A9B3-B41884E506EF}">
            <xm:f>$H$439='(admin) Drop Down Variables'!$D$63</xm:f>
            <x14:dxf>
              <fill>
                <patternFill>
                  <bgColor rgb="FF00B050"/>
                </patternFill>
              </fill>
            </x14:dxf>
          </x14:cfRule>
          <x14:cfRule type="expression" priority="893" id="{7FA88DC4-A0F9-4D5C-B6A4-2B95B5B63B74}">
            <xm:f>$H$439='(admin) Drop Down Variables'!$D$64</xm:f>
            <x14:dxf>
              <fill>
                <patternFill>
                  <bgColor rgb="FFFF0000"/>
                </patternFill>
              </fill>
            </x14:dxf>
          </x14:cfRule>
          <xm:sqref>I440</xm:sqref>
        </x14:conditionalFormatting>
        <x14:conditionalFormatting xmlns:xm="http://schemas.microsoft.com/office/excel/2006/main">
          <x14:cfRule type="expression" priority="890" id="{3F663AF5-8226-437F-AA5D-0410A985C023}">
            <xm:f>$H$447='(admin) Drop Down Variables'!$D$63</xm:f>
            <x14:dxf>
              <fill>
                <patternFill>
                  <bgColor rgb="FF00B050"/>
                </patternFill>
              </fill>
            </x14:dxf>
          </x14:cfRule>
          <x14:cfRule type="expression" priority="891" id="{72685944-B52A-4D1D-8F72-8201393B1C42}">
            <xm:f>$H$447='(admin) Drop Down Variables'!$D$64</xm:f>
            <x14:dxf>
              <fill>
                <patternFill>
                  <bgColor rgb="FFFF0000"/>
                </patternFill>
              </fill>
            </x14:dxf>
          </x14:cfRule>
          <xm:sqref>I448</xm:sqref>
        </x14:conditionalFormatting>
        <x14:conditionalFormatting xmlns:xm="http://schemas.microsoft.com/office/excel/2006/main">
          <x14:cfRule type="expression" priority="888" id="{0958FB75-6846-45DB-956F-BCBB7D1964A8}">
            <xm:f>$H$455='(admin) Drop Down Variables'!$D$63</xm:f>
            <x14:dxf>
              <fill>
                <patternFill>
                  <bgColor rgb="FF00B050"/>
                </patternFill>
              </fill>
            </x14:dxf>
          </x14:cfRule>
          <x14:cfRule type="expression" priority="889" id="{9CE24671-F5DD-4886-A631-91F28E7C42D2}">
            <xm:f>$H$455='(admin) Drop Down Variables'!$D$64</xm:f>
            <x14:dxf>
              <fill>
                <patternFill>
                  <bgColor rgb="FFFF0000"/>
                </patternFill>
              </fill>
            </x14:dxf>
          </x14:cfRule>
          <xm:sqref>I456</xm:sqref>
        </x14:conditionalFormatting>
        <x14:conditionalFormatting xmlns:xm="http://schemas.microsoft.com/office/excel/2006/main">
          <x14:cfRule type="expression" priority="886" id="{EE08B3C2-DB92-4720-8922-7D0684057402}">
            <xm:f>$H$463='(admin) Drop Down Variables'!$D$63</xm:f>
            <x14:dxf>
              <fill>
                <patternFill>
                  <bgColor rgb="FF00B050"/>
                </patternFill>
              </fill>
            </x14:dxf>
          </x14:cfRule>
          <x14:cfRule type="expression" priority="887" id="{8A9332FA-448A-46C4-9EEB-11B743A39BD4}">
            <xm:f>$H$463='(admin) Drop Down Variables'!$D$64</xm:f>
            <x14:dxf>
              <fill>
                <patternFill>
                  <bgColor rgb="FFFF0000"/>
                </patternFill>
              </fill>
            </x14:dxf>
          </x14:cfRule>
          <xm:sqref>I464</xm:sqref>
        </x14:conditionalFormatting>
        <x14:conditionalFormatting xmlns:xm="http://schemas.microsoft.com/office/excel/2006/main">
          <x14:cfRule type="expression" priority="880" id="{3D281890-4D31-4493-80AF-865DB8555AFC}">
            <xm:f>$H$479='(admin) Drop Down Variables'!$D$63</xm:f>
            <x14:dxf>
              <fill>
                <patternFill>
                  <bgColor rgb="FF00B050"/>
                </patternFill>
              </fill>
            </x14:dxf>
          </x14:cfRule>
          <x14:cfRule type="expression" priority="881" id="{3673B63D-134D-4D0C-9787-BE1DCF5FF933}">
            <xm:f>$H$479='(admin) Drop Down Variables'!$D$64</xm:f>
            <x14:dxf>
              <fill>
                <patternFill>
                  <bgColor rgb="FFFF0000"/>
                </patternFill>
              </fill>
            </x14:dxf>
          </x14:cfRule>
          <xm:sqref>I480</xm:sqref>
        </x14:conditionalFormatting>
        <x14:conditionalFormatting xmlns:xm="http://schemas.microsoft.com/office/excel/2006/main">
          <x14:cfRule type="expression" priority="878" id="{0E8FF2FD-BFE1-40FB-865E-8868CDFD3F1B}">
            <xm:f>$H$483='(admin) Drop Down Variables'!$D$63</xm:f>
            <x14:dxf>
              <fill>
                <patternFill>
                  <bgColor rgb="FF00B050"/>
                </patternFill>
              </fill>
            </x14:dxf>
          </x14:cfRule>
          <x14:cfRule type="expression" priority="879" id="{CEE422D1-8C8E-40F1-82AA-39FA91DB0A69}">
            <xm:f>$H$483='(admin) Drop Down Variables'!$D$64</xm:f>
            <x14:dxf>
              <fill>
                <patternFill>
                  <bgColor rgb="FFFF0000"/>
                </patternFill>
              </fill>
            </x14:dxf>
          </x14:cfRule>
          <xm:sqref>I484</xm:sqref>
        </x14:conditionalFormatting>
        <x14:conditionalFormatting xmlns:xm="http://schemas.microsoft.com/office/excel/2006/main">
          <x14:cfRule type="expression" priority="876" id="{DD949D59-D9DF-4126-A824-391D2221B678}">
            <xm:f>$H$487='(admin) Drop Down Variables'!$D$63</xm:f>
            <x14:dxf>
              <fill>
                <patternFill>
                  <bgColor rgb="FF00B050"/>
                </patternFill>
              </fill>
            </x14:dxf>
          </x14:cfRule>
          <x14:cfRule type="expression" priority="877" id="{8F13FEA6-1998-43B5-B964-BD751B3DEF77}">
            <xm:f>$H$487='(admin) Drop Down Variables'!$D$64</xm:f>
            <x14:dxf>
              <fill>
                <patternFill>
                  <bgColor rgb="FFFF0000"/>
                </patternFill>
              </fill>
            </x14:dxf>
          </x14:cfRule>
          <xm:sqref>I488</xm:sqref>
        </x14:conditionalFormatting>
        <x14:conditionalFormatting xmlns:xm="http://schemas.microsoft.com/office/excel/2006/main">
          <x14:cfRule type="expression" priority="874" id="{ECCD17AA-C294-4831-92D3-3A6FC28DF774}">
            <xm:f>$H$491='(admin) Drop Down Variables'!$D$63</xm:f>
            <x14:dxf>
              <fill>
                <patternFill>
                  <bgColor rgb="FF00B050"/>
                </patternFill>
              </fill>
            </x14:dxf>
          </x14:cfRule>
          <x14:cfRule type="expression" priority="875" id="{DD6E7CAE-1A0C-4AA1-94D3-23DBB528AE25}">
            <xm:f>$H$491='(admin) Drop Down Variables'!$D$64</xm:f>
            <x14:dxf>
              <fill>
                <patternFill>
                  <bgColor rgb="FFFF0000"/>
                </patternFill>
              </fill>
            </x14:dxf>
          </x14:cfRule>
          <xm:sqref>I492</xm:sqref>
        </x14:conditionalFormatting>
        <x14:conditionalFormatting xmlns:xm="http://schemas.microsoft.com/office/excel/2006/main">
          <x14:cfRule type="expression" priority="872" id="{1FF682F8-869B-4809-A546-8C312CD2B738}">
            <xm:f>$H$495='(admin) Drop Down Variables'!$D$63</xm:f>
            <x14:dxf>
              <fill>
                <patternFill>
                  <bgColor rgb="FF00B050"/>
                </patternFill>
              </fill>
            </x14:dxf>
          </x14:cfRule>
          <x14:cfRule type="expression" priority="873" id="{F5A87C83-14BD-411A-8F18-D57AE401A473}">
            <xm:f>$H$495='(admin) Drop Down Variables'!$D$64</xm:f>
            <x14:dxf>
              <fill>
                <patternFill>
                  <bgColor rgb="FFFF0000"/>
                </patternFill>
              </fill>
            </x14:dxf>
          </x14:cfRule>
          <xm:sqref>I496</xm:sqref>
        </x14:conditionalFormatting>
        <x14:conditionalFormatting xmlns:xm="http://schemas.microsoft.com/office/excel/2006/main">
          <x14:cfRule type="expression" priority="870" id="{9479BE26-A227-4794-8AD6-F59B16EB7F68}">
            <xm:f>$H$499='(admin) Drop Down Variables'!$D$63</xm:f>
            <x14:dxf>
              <fill>
                <patternFill>
                  <bgColor rgb="FF00B050"/>
                </patternFill>
              </fill>
            </x14:dxf>
          </x14:cfRule>
          <x14:cfRule type="expression" priority="871" id="{4791F41C-C504-480A-A019-3C4AD846C789}">
            <xm:f>$H$499='(admin) Drop Down Variables'!$D$64</xm:f>
            <x14:dxf>
              <fill>
                <patternFill>
                  <bgColor rgb="FFFF0000"/>
                </patternFill>
              </fill>
            </x14:dxf>
          </x14:cfRule>
          <xm:sqref>I500</xm:sqref>
        </x14:conditionalFormatting>
        <x14:conditionalFormatting xmlns:xm="http://schemas.microsoft.com/office/excel/2006/main">
          <x14:cfRule type="expression" priority="866" id="{4BCDC27F-0D32-4645-9DD4-A605033CB312}">
            <xm:f>$H$507='(admin) Drop Down Variables'!$D$63</xm:f>
            <x14:dxf>
              <fill>
                <patternFill>
                  <bgColor rgb="FF00B050"/>
                </patternFill>
              </fill>
            </x14:dxf>
          </x14:cfRule>
          <x14:cfRule type="expression" priority="867" id="{077473C2-D6AA-417D-80A7-768B3B6CA86D}">
            <xm:f>$H$507='(admin) Drop Down Variables'!$D$64</xm:f>
            <x14:dxf>
              <fill>
                <patternFill>
                  <bgColor rgb="FFFF0000"/>
                </patternFill>
              </fill>
            </x14:dxf>
          </x14:cfRule>
          <xm:sqref>I508</xm:sqref>
        </x14:conditionalFormatting>
        <x14:conditionalFormatting xmlns:xm="http://schemas.microsoft.com/office/excel/2006/main">
          <x14:cfRule type="expression" priority="864" id="{BE73F398-60EA-4A6F-9B92-77B59165FF4D}">
            <xm:f>$H$511='(admin) Drop Down Variables'!$D$63</xm:f>
            <x14:dxf>
              <fill>
                <patternFill>
                  <bgColor rgb="FF00B050"/>
                </patternFill>
              </fill>
            </x14:dxf>
          </x14:cfRule>
          <x14:cfRule type="expression" priority="865" id="{AAE8FDDB-0C83-4E71-B8A1-A96F71BE2D55}">
            <xm:f>$H$511='(admin) Drop Down Variables'!$D$64</xm:f>
            <x14:dxf>
              <fill>
                <patternFill>
                  <bgColor rgb="FFFF0000"/>
                </patternFill>
              </fill>
            </x14:dxf>
          </x14:cfRule>
          <xm:sqref>I512</xm:sqref>
        </x14:conditionalFormatting>
        <x14:conditionalFormatting xmlns:xm="http://schemas.microsoft.com/office/excel/2006/main">
          <x14:cfRule type="expression" priority="862" id="{8169ACEA-AEE4-445D-8C02-C27385238BDC}">
            <xm:f>$H$515='(admin) Drop Down Variables'!$D$63</xm:f>
            <x14:dxf>
              <fill>
                <patternFill>
                  <bgColor rgb="FF00B050"/>
                </patternFill>
              </fill>
            </x14:dxf>
          </x14:cfRule>
          <x14:cfRule type="expression" priority="863" id="{BD2B9214-3D3F-463A-9A40-1CD40026ED9B}">
            <xm:f>$H$515='(admin) Drop Down Variables'!$D$64</xm:f>
            <x14:dxf>
              <fill>
                <patternFill>
                  <bgColor rgb="FFFF0000"/>
                </patternFill>
              </fill>
            </x14:dxf>
          </x14:cfRule>
          <xm:sqref>I516</xm:sqref>
        </x14:conditionalFormatting>
        <x14:conditionalFormatting xmlns:xm="http://schemas.microsoft.com/office/excel/2006/main">
          <x14:cfRule type="expression" priority="860" id="{AB76CA38-CA69-4941-8D25-0DD5F95D8485}">
            <xm:f>$H$471='(admin) Drop Down Variables'!$D$63</xm:f>
            <x14:dxf>
              <fill>
                <patternFill>
                  <bgColor rgb="FF00B050"/>
                </patternFill>
              </fill>
            </x14:dxf>
          </x14:cfRule>
          <x14:cfRule type="expression" priority="861" id="{DEA04D6F-AF97-44D8-9100-6A5607B5FDFA}">
            <xm:f>$H$471='(admin) Drop Down Variables'!$D$64</xm:f>
            <x14:dxf>
              <fill>
                <patternFill>
                  <bgColor rgb="FFFF0000"/>
                </patternFill>
              </fill>
            </x14:dxf>
          </x14:cfRule>
          <xm:sqref>I472</xm:sqref>
        </x14:conditionalFormatting>
        <x14:conditionalFormatting xmlns:xm="http://schemas.microsoft.com/office/excel/2006/main">
          <x14:cfRule type="expression" priority="858" id="{551BDF7D-EA0F-493F-9410-D65792867225}">
            <xm:f>$H$475='(admin) Drop Down Variables'!$D$63</xm:f>
            <x14:dxf>
              <fill>
                <patternFill>
                  <bgColor rgb="FF00B050"/>
                </patternFill>
              </fill>
            </x14:dxf>
          </x14:cfRule>
          <x14:cfRule type="expression" priority="859" id="{44CB049B-6EF8-44CE-873C-7A8C2D9543B2}">
            <xm:f>$H$475='(admin) Drop Down Variables'!$D$64</xm:f>
            <x14:dxf>
              <fill>
                <patternFill>
                  <bgColor rgb="FFFF0000"/>
                </patternFill>
              </fill>
            </x14:dxf>
          </x14:cfRule>
          <xm:sqref>I476</xm:sqref>
        </x14:conditionalFormatting>
        <x14:conditionalFormatting xmlns:xm="http://schemas.microsoft.com/office/excel/2006/main">
          <x14:cfRule type="expression" priority="856" id="{40963B65-7224-4AAB-AD57-7F72C28CA51A}">
            <xm:f>$H$471='(admin) Drop Down Variables'!$D$63</xm:f>
            <x14:dxf>
              <fill>
                <patternFill>
                  <bgColor rgb="FF00B050"/>
                </patternFill>
              </fill>
            </x14:dxf>
          </x14:cfRule>
          <x14:cfRule type="expression" priority="857" id="{71E3D6F8-E868-4960-B09D-D48918BE8CA1}">
            <xm:f>$H$471='(admin) Drop Down Variables'!$D$64</xm:f>
            <x14:dxf>
              <fill>
                <patternFill>
                  <bgColor rgb="FFFF0000"/>
                </patternFill>
              </fill>
            </x14:dxf>
          </x14:cfRule>
          <xm:sqref>I471</xm:sqref>
        </x14:conditionalFormatting>
        <x14:conditionalFormatting xmlns:xm="http://schemas.microsoft.com/office/excel/2006/main">
          <x14:cfRule type="expression" priority="854" id="{CAA0F1AC-E9A2-4D61-A06B-ECA5C0C5DF10}">
            <xm:f>$H$479='(admin) Drop Down Variables'!$D$63</xm:f>
            <x14:dxf>
              <fill>
                <patternFill>
                  <bgColor rgb="FF00B050"/>
                </patternFill>
              </fill>
            </x14:dxf>
          </x14:cfRule>
          <x14:cfRule type="expression" priority="855" id="{177F4631-DB0E-46B8-8C46-83B84D62F4DB}">
            <xm:f>$H$479='(admin) Drop Down Variables'!$D$64</xm:f>
            <x14:dxf>
              <fill>
                <patternFill>
                  <bgColor rgb="FFFF0000"/>
                </patternFill>
              </fill>
            </x14:dxf>
          </x14:cfRule>
          <xm:sqref>I479</xm:sqref>
        </x14:conditionalFormatting>
        <x14:conditionalFormatting xmlns:xm="http://schemas.microsoft.com/office/excel/2006/main">
          <x14:cfRule type="expression" priority="850" id="{3EFADED4-3B33-4E36-8FBF-BF0145B7FB3D}">
            <xm:f>$H$483='(admin) Drop Down Variables'!$D$63</xm:f>
            <x14:dxf>
              <fill>
                <patternFill>
                  <bgColor rgb="FF00B050"/>
                </patternFill>
              </fill>
            </x14:dxf>
          </x14:cfRule>
          <x14:cfRule type="expression" priority="851" id="{3C9EDCA2-7F4D-40CD-B98C-02EF28AEAE72}">
            <xm:f>$H$483='(admin) Drop Down Variables'!$D$64</xm:f>
            <x14:dxf>
              <fill>
                <patternFill>
                  <bgColor rgb="FFFF0000"/>
                </patternFill>
              </fill>
            </x14:dxf>
          </x14:cfRule>
          <xm:sqref>I483</xm:sqref>
        </x14:conditionalFormatting>
        <x14:conditionalFormatting xmlns:xm="http://schemas.microsoft.com/office/excel/2006/main">
          <x14:cfRule type="expression" priority="846" id="{55F870CB-E369-4551-9DDE-1EDD7A351AE6}">
            <xm:f>$H$487='(admin) Drop Down Variables'!$D$63</xm:f>
            <x14:dxf>
              <fill>
                <patternFill>
                  <bgColor rgb="FF00B050"/>
                </patternFill>
              </fill>
            </x14:dxf>
          </x14:cfRule>
          <x14:cfRule type="expression" priority="847" id="{0419727D-64BA-4703-9C6F-0F57B28BC7A2}">
            <xm:f>$H$487='(admin) Drop Down Variables'!$D$64</xm:f>
            <x14:dxf>
              <fill>
                <patternFill>
                  <bgColor rgb="FFFF0000"/>
                </patternFill>
              </fill>
            </x14:dxf>
          </x14:cfRule>
          <xm:sqref>I487</xm:sqref>
        </x14:conditionalFormatting>
        <x14:conditionalFormatting xmlns:xm="http://schemas.microsoft.com/office/excel/2006/main">
          <x14:cfRule type="expression" priority="842" id="{9FC15AFB-961F-4D1B-8EBA-B5544B3A0F63}">
            <xm:f>$H$491='(admin) Drop Down Variables'!$D$63</xm:f>
            <x14:dxf>
              <fill>
                <patternFill>
                  <bgColor rgb="FF00B050"/>
                </patternFill>
              </fill>
            </x14:dxf>
          </x14:cfRule>
          <x14:cfRule type="expression" priority="843" id="{A1EB7299-7C68-4CAC-8725-CE38A5BD86C0}">
            <xm:f>$H$491='(admin) Drop Down Variables'!$D$64</xm:f>
            <x14:dxf>
              <fill>
                <patternFill>
                  <bgColor rgb="FFFF0000"/>
                </patternFill>
              </fill>
            </x14:dxf>
          </x14:cfRule>
          <xm:sqref>I491</xm:sqref>
        </x14:conditionalFormatting>
        <x14:conditionalFormatting xmlns:xm="http://schemas.microsoft.com/office/excel/2006/main">
          <x14:cfRule type="expression" priority="838" id="{CBC494FB-D00F-403D-98CE-03BDB2E5EF62}">
            <xm:f>$H$495='(admin) Drop Down Variables'!$D$63</xm:f>
            <x14:dxf>
              <fill>
                <patternFill>
                  <bgColor rgb="FF00B050"/>
                </patternFill>
              </fill>
            </x14:dxf>
          </x14:cfRule>
          <x14:cfRule type="expression" priority="839" id="{3DB7F0CB-8B0F-4B95-A463-1E692CDB2E35}">
            <xm:f>$H$495='(admin) Drop Down Variables'!$D$64</xm:f>
            <x14:dxf>
              <fill>
                <patternFill>
                  <bgColor rgb="FFFF0000"/>
                </patternFill>
              </fill>
            </x14:dxf>
          </x14:cfRule>
          <xm:sqref>I495</xm:sqref>
        </x14:conditionalFormatting>
        <x14:conditionalFormatting xmlns:xm="http://schemas.microsoft.com/office/excel/2006/main">
          <x14:cfRule type="expression" priority="834" id="{46FFD6A9-65EE-46DE-9887-7E42A7CBEAA2}">
            <xm:f>$H$499='(admin) Drop Down Variables'!$D$63</xm:f>
            <x14:dxf>
              <fill>
                <patternFill>
                  <bgColor rgb="FF00B050"/>
                </patternFill>
              </fill>
            </x14:dxf>
          </x14:cfRule>
          <x14:cfRule type="expression" priority="835" id="{8D35CAB5-3BEC-4D69-AAC1-79E661DEFFA1}">
            <xm:f>$H$499='(admin) Drop Down Variables'!$D$64</xm:f>
            <x14:dxf>
              <fill>
                <patternFill>
                  <bgColor rgb="FFFF0000"/>
                </patternFill>
              </fill>
            </x14:dxf>
          </x14:cfRule>
          <xm:sqref>I499</xm:sqref>
        </x14:conditionalFormatting>
        <x14:conditionalFormatting xmlns:xm="http://schemas.microsoft.com/office/excel/2006/main">
          <x14:cfRule type="expression" priority="830" id="{01045043-061A-48C6-B819-27A48CCA5E91}">
            <xm:f>$H$503='(admin) Drop Down Variables'!$D$63</xm:f>
            <x14:dxf>
              <fill>
                <patternFill>
                  <bgColor rgb="FF00B050"/>
                </patternFill>
              </fill>
            </x14:dxf>
          </x14:cfRule>
          <x14:cfRule type="expression" priority="831" id="{6669D797-A98D-4CDB-9AD6-46771EA16AE3}">
            <xm:f>$H$503='(admin) Drop Down Variables'!$D$64</xm:f>
            <x14:dxf>
              <fill>
                <patternFill>
                  <bgColor rgb="FFFF0000"/>
                </patternFill>
              </fill>
            </x14:dxf>
          </x14:cfRule>
          <xm:sqref>I503</xm:sqref>
        </x14:conditionalFormatting>
        <x14:conditionalFormatting xmlns:xm="http://schemas.microsoft.com/office/excel/2006/main">
          <x14:cfRule type="expression" priority="826" id="{75F719D0-D971-435D-86C2-2D31817FC28C}">
            <xm:f>$H$503='(admin) Drop Down Variables'!$D$63</xm:f>
            <x14:dxf>
              <fill>
                <patternFill>
                  <bgColor rgb="FF00B050"/>
                </patternFill>
              </fill>
            </x14:dxf>
          </x14:cfRule>
          <x14:cfRule type="expression" priority="827" id="{C461BD9A-4B9D-478E-86B2-B96D6F0E524A}">
            <xm:f>$H$503='(admin) Drop Down Variables'!$D$64</xm:f>
            <x14:dxf>
              <fill>
                <patternFill>
                  <bgColor rgb="FFFF0000"/>
                </patternFill>
              </fill>
            </x14:dxf>
          </x14:cfRule>
          <xm:sqref>I504</xm:sqref>
        </x14:conditionalFormatting>
        <x14:conditionalFormatting xmlns:xm="http://schemas.microsoft.com/office/excel/2006/main">
          <x14:cfRule type="expression" priority="822" id="{21D5D4F1-5E58-425E-B9DC-E000FCA39EF8}">
            <xm:f>$H$507='(admin) Drop Down Variables'!$D$63</xm:f>
            <x14:dxf>
              <fill>
                <patternFill>
                  <bgColor rgb="FF00B050"/>
                </patternFill>
              </fill>
            </x14:dxf>
          </x14:cfRule>
          <x14:cfRule type="expression" priority="823" id="{24A450CF-C3D9-4D6F-8E0C-2CCA95C4A6F9}">
            <xm:f>$H$507='(admin) Drop Down Variables'!$D$64</xm:f>
            <x14:dxf>
              <fill>
                <patternFill>
                  <bgColor rgb="FFFF0000"/>
                </patternFill>
              </fill>
            </x14:dxf>
          </x14:cfRule>
          <xm:sqref>I507</xm:sqref>
        </x14:conditionalFormatting>
        <x14:conditionalFormatting xmlns:xm="http://schemas.microsoft.com/office/excel/2006/main">
          <x14:cfRule type="expression" priority="818" id="{370F5934-836E-4202-A4A4-4FC108512B4E}">
            <xm:f>$H$511='(admin) Drop Down Variables'!$D$63</xm:f>
            <x14:dxf>
              <fill>
                <patternFill>
                  <bgColor rgb="FF00B050"/>
                </patternFill>
              </fill>
            </x14:dxf>
          </x14:cfRule>
          <x14:cfRule type="expression" priority="819" id="{D0EB20BF-D7C0-46E8-9E31-566D029920F4}">
            <xm:f>$H$511='(admin) Drop Down Variables'!$D$64</xm:f>
            <x14:dxf>
              <fill>
                <patternFill>
                  <bgColor rgb="FFFF0000"/>
                </patternFill>
              </fill>
            </x14:dxf>
          </x14:cfRule>
          <xm:sqref>I511</xm:sqref>
        </x14:conditionalFormatting>
        <x14:conditionalFormatting xmlns:xm="http://schemas.microsoft.com/office/excel/2006/main">
          <x14:cfRule type="expression" priority="814" id="{1EDDB209-2279-4F1C-867A-D2220DA0D3AF}">
            <xm:f>$H$515='(admin) Drop Down Variables'!$D$63</xm:f>
            <x14:dxf>
              <fill>
                <patternFill>
                  <bgColor rgb="FF00B050"/>
                </patternFill>
              </fill>
            </x14:dxf>
          </x14:cfRule>
          <x14:cfRule type="expression" priority="815" id="{4DB1119D-4285-4B2D-9980-12380AD12E1C}">
            <xm:f>$H$515='(admin) Drop Down Variables'!$D$64</xm:f>
            <x14:dxf>
              <fill>
                <patternFill>
                  <bgColor rgb="FFFF0000"/>
                </patternFill>
              </fill>
            </x14:dxf>
          </x14:cfRule>
          <xm:sqref>I515</xm:sqref>
        </x14:conditionalFormatting>
        <x14:conditionalFormatting xmlns:xm="http://schemas.microsoft.com/office/excel/2006/main">
          <x14:cfRule type="cellIs" priority="639" operator="equal" id="{1F5C0D82-D177-4E70-AEBE-4A924DCF33F3}">
            <xm:f>'(admin) Drop Down Variables'!$D$64</xm:f>
            <x14:dxf>
              <font>
                <b/>
                <i val="0"/>
                <color auto="1"/>
              </font>
            </x14:dxf>
          </x14:cfRule>
          <x14:cfRule type="cellIs" priority="640" operator="equal" id="{4B03E0DF-F27C-4924-9CF1-70D64C85B8D7}">
            <xm:f>'(admin) Drop Down Variables'!$D$63</xm:f>
            <x14:dxf>
              <font>
                <b/>
                <i val="0"/>
                <color auto="1"/>
              </font>
            </x14:dxf>
          </x14:cfRule>
          <x14:cfRule type="cellIs" priority="641" operator="equal" id="{C8D48885-DA5A-4CB3-8F5E-3406FCA35BE7}">
            <xm:f>'(admin) Drop Down Variables'!$D$60</xm:f>
            <x14:dxf>
              <font>
                <b/>
                <i val="0"/>
                <color auto="1"/>
              </font>
            </x14:dxf>
          </x14:cfRule>
          <x14:cfRule type="cellIs" priority="642" operator="equal" id="{04D42024-75C0-4420-824F-EA60C4FD3858}">
            <xm:f>'(admin) Drop Down Variables'!$D$59</xm:f>
            <x14:dxf>
              <font>
                <b/>
                <i val="0"/>
                <color auto="1"/>
              </font>
            </x14:dxf>
          </x14:cfRule>
          <x14:cfRule type="cellIs" priority="643" operator="equal" id="{36788EE1-9155-4F46-BBC2-387F7B9CDFE6}">
            <xm:f>'(admin) Drop Down Variables'!$D$58</xm:f>
            <x14:dxf>
              <font>
                <b/>
                <i val="0"/>
                <color auto="1"/>
              </font>
            </x14:dxf>
          </x14:cfRule>
          <x14:cfRule type="cellIs" priority="644" operator="equal" id="{F4F1C99A-8411-4016-B135-72FC141481BA}">
            <xm:f>'(admin) Drop Down Variables'!$D$57</xm:f>
            <x14:dxf>
              <font>
                <b/>
                <i val="0"/>
                <color auto="1"/>
              </font>
            </x14:dxf>
          </x14:cfRule>
          <x14:cfRule type="cellIs" priority="645" operator="equal" id="{C76DF3D2-3D69-4FC8-BCAB-D7FB41321FBE}">
            <xm:f>'(admin) Drop Down Variables'!$D$56</xm:f>
            <x14:dxf>
              <font>
                <b/>
                <i val="0"/>
                <color auto="1"/>
              </font>
            </x14:dxf>
          </x14:cfRule>
          <xm:sqref>G290:H291</xm:sqref>
        </x14:conditionalFormatting>
        <x14:conditionalFormatting xmlns:xm="http://schemas.microsoft.com/office/excel/2006/main">
          <x14:cfRule type="cellIs" priority="632" operator="equal" id="{F04ED2A2-003E-4E63-96CF-7ACF0502CFFF}">
            <xm:f>'(admin) Drop Down Variables'!$D$64</xm:f>
            <x14:dxf>
              <font>
                <b/>
                <i val="0"/>
                <color auto="1"/>
              </font>
            </x14:dxf>
          </x14:cfRule>
          <x14:cfRule type="cellIs" priority="633" operator="equal" id="{397577CF-65B0-4693-894B-D996B8D54AB8}">
            <xm:f>'(admin) Drop Down Variables'!$D$63</xm:f>
            <x14:dxf>
              <font>
                <b/>
                <i val="0"/>
                <color auto="1"/>
              </font>
            </x14:dxf>
          </x14:cfRule>
          <x14:cfRule type="cellIs" priority="634" operator="equal" id="{40BA2D61-A682-4353-8D5C-38BA5543C95C}">
            <xm:f>'(admin) Drop Down Variables'!$D$60</xm:f>
            <x14:dxf>
              <font>
                <b/>
                <i val="0"/>
                <color auto="1"/>
              </font>
            </x14:dxf>
          </x14:cfRule>
          <x14:cfRule type="cellIs" priority="635" operator="equal" id="{02F4C725-ED46-4D6B-9A56-A41EAA6B6834}">
            <xm:f>'(admin) Drop Down Variables'!$D$59</xm:f>
            <x14:dxf>
              <font>
                <b/>
                <i val="0"/>
                <color auto="1"/>
              </font>
            </x14:dxf>
          </x14:cfRule>
          <x14:cfRule type="cellIs" priority="636" operator="equal" id="{DB975898-1209-4793-B3F3-886E581D76CE}">
            <xm:f>'(admin) Drop Down Variables'!$D$58</xm:f>
            <x14:dxf>
              <font>
                <b/>
                <i val="0"/>
                <color auto="1"/>
              </font>
            </x14:dxf>
          </x14:cfRule>
          <x14:cfRule type="cellIs" priority="637" operator="equal" id="{3A4FECCA-6FEC-4216-B466-CD9F5A0034D3}">
            <xm:f>'(admin) Drop Down Variables'!$D$57</xm:f>
            <x14:dxf>
              <font>
                <b/>
                <i val="0"/>
                <color auto="1"/>
              </font>
            </x14:dxf>
          </x14:cfRule>
          <x14:cfRule type="cellIs" priority="638" operator="equal" id="{6BAEB1AF-1713-4ED4-8EFB-CA524F5B57FB}">
            <xm:f>'(admin) Drop Down Variables'!$D$56</xm:f>
            <x14:dxf>
              <font>
                <b/>
                <i val="0"/>
                <color auto="1"/>
              </font>
            </x14:dxf>
          </x14:cfRule>
          <xm:sqref>G599:H600</xm:sqref>
        </x14:conditionalFormatting>
        <x14:conditionalFormatting xmlns:xm="http://schemas.microsoft.com/office/excel/2006/main">
          <x14:cfRule type="cellIs" priority="617" operator="equal" id="{5457C2D6-C803-4934-AF97-A58C419D8722}">
            <xm:f>'(admin) Drop Down Variables'!$D$60</xm:f>
            <x14:dxf>
              <font>
                <b/>
                <i val="0"/>
                <color rgb="FFFFC000"/>
              </font>
            </x14:dxf>
          </x14:cfRule>
          <x14:cfRule type="cellIs" priority="618" operator="equal" id="{D46A8406-4063-4AE2-BBE8-E0314C0738F5}">
            <xm:f>'(admin) Drop Down Variables'!$D$59</xm:f>
            <x14:dxf>
              <font>
                <b/>
                <i val="0"/>
                <color rgb="FF92D050"/>
              </font>
            </x14:dxf>
          </x14:cfRule>
          <x14:cfRule type="cellIs" priority="619" operator="equal" id="{F740F512-8BFD-4DC7-8A80-88E608462A66}">
            <xm:f>'(admin) Drop Down Variables'!$D$58</xm:f>
            <x14:dxf>
              <font>
                <b/>
                <i val="0"/>
                <color rgb="FFFF0000"/>
              </font>
            </x14:dxf>
          </x14:cfRule>
          <x14:cfRule type="cellIs" priority="620" operator="equal" id="{DC5EE2AE-D01D-4499-A056-BA3F9592E90A}">
            <xm:f>'(admin) Drop Down Variables'!$D$57</xm:f>
            <x14:dxf>
              <font>
                <b/>
                <i val="0"/>
                <color theme="1"/>
              </font>
            </x14:dxf>
          </x14:cfRule>
          <x14:cfRule type="cellIs" priority="621" operator="equal" id="{6C133ED5-34B8-4778-A521-8E5FDFC01970}">
            <xm:f>'(admin) Drop Down Variables'!$D$56</xm:f>
            <x14:dxf>
              <font>
                <b/>
                <i val="0"/>
                <color rgb="FF00B050"/>
              </font>
            </x14:dxf>
          </x14:cfRule>
          <xm:sqref>G188:G197</xm:sqref>
        </x14:conditionalFormatting>
        <x14:conditionalFormatting xmlns:xm="http://schemas.microsoft.com/office/excel/2006/main">
          <x14:cfRule type="cellIs" priority="610" operator="equal" id="{5931AC60-5DC8-418E-89F4-FB16A07D5BB4}">
            <xm:f>'(admin) Drop Down Variables'!$D$64</xm:f>
            <x14:dxf>
              <font>
                <b/>
                <i val="0"/>
                <color auto="1"/>
              </font>
            </x14:dxf>
          </x14:cfRule>
          <x14:cfRule type="cellIs" priority="611" operator="equal" id="{AC017546-A5BB-477B-B6D5-779135F0D7D6}">
            <xm:f>'(admin) Drop Down Variables'!$D$63</xm:f>
            <x14:dxf>
              <font>
                <b/>
                <i val="0"/>
                <color auto="1"/>
              </font>
            </x14:dxf>
          </x14:cfRule>
          <x14:cfRule type="cellIs" priority="612" operator="equal" id="{88CEF79E-D965-4178-AFFD-518A25DB9397}">
            <xm:f>'(admin) Drop Down Variables'!$D$60</xm:f>
            <x14:dxf>
              <font>
                <b/>
                <i val="0"/>
                <color auto="1"/>
              </font>
            </x14:dxf>
          </x14:cfRule>
          <x14:cfRule type="cellIs" priority="613" operator="equal" id="{4E63642D-842F-421D-A63C-672E2A946D9F}">
            <xm:f>'(admin) Drop Down Variables'!$D$59</xm:f>
            <x14:dxf>
              <font>
                <b/>
                <i val="0"/>
                <color auto="1"/>
              </font>
            </x14:dxf>
          </x14:cfRule>
          <x14:cfRule type="cellIs" priority="614" operator="equal" id="{53B78FE4-E8A7-4B7F-8C30-794F571929B7}">
            <xm:f>'(admin) Drop Down Variables'!$D$58</xm:f>
            <x14:dxf>
              <font>
                <b/>
                <i val="0"/>
                <color auto="1"/>
              </font>
            </x14:dxf>
          </x14:cfRule>
          <x14:cfRule type="cellIs" priority="615" operator="equal" id="{B9DABB86-0243-4737-B5DC-0308C596A9C8}">
            <xm:f>'(admin) Drop Down Variables'!$D$57</xm:f>
            <x14:dxf>
              <font>
                <b/>
                <i val="0"/>
                <color auto="1"/>
              </font>
            </x14:dxf>
          </x14:cfRule>
          <x14:cfRule type="cellIs" priority="616" operator="equal" id="{D2B41E63-3537-4383-B8FC-DDFFE0375FAA}">
            <xm:f>'(admin) Drop Down Variables'!$D$56</xm:f>
            <x14:dxf>
              <font>
                <b/>
                <i val="0"/>
                <color auto="1"/>
              </font>
            </x14:dxf>
          </x14:cfRule>
          <xm:sqref>G88:H93</xm:sqref>
        </x14:conditionalFormatting>
        <x14:conditionalFormatting xmlns:xm="http://schemas.microsoft.com/office/excel/2006/main">
          <x14:cfRule type="cellIs" priority="603" operator="equal" id="{C673B646-B264-464D-8245-C6452AE2B850}">
            <xm:f>'(admin) Drop Down Variables'!$D$64</xm:f>
            <x14:dxf>
              <font>
                <b/>
                <i val="0"/>
                <color auto="1"/>
              </font>
            </x14:dxf>
          </x14:cfRule>
          <x14:cfRule type="cellIs" priority="604" operator="equal" id="{2E65C348-640C-42B3-AD9C-0E5BB2C25B1E}">
            <xm:f>'(admin) Drop Down Variables'!$D$63</xm:f>
            <x14:dxf>
              <font>
                <b/>
                <i val="0"/>
                <color auto="1"/>
              </font>
            </x14:dxf>
          </x14:cfRule>
          <x14:cfRule type="cellIs" priority="605" operator="equal" id="{247354F2-E5F7-407C-A011-3D3AB9B1514E}">
            <xm:f>'(admin) Drop Down Variables'!$D$60</xm:f>
            <x14:dxf>
              <font>
                <b/>
                <i val="0"/>
                <color auto="1"/>
              </font>
            </x14:dxf>
          </x14:cfRule>
          <x14:cfRule type="cellIs" priority="606" operator="equal" id="{5A41DDB7-1956-4B04-B5D4-5AD3EB7604D2}">
            <xm:f>'(admin) Drop Down Variables'!$D$59</xm:f>
            <x14:dxf>
              <font>
                <b/>
                <i val="0"/>
                <color auto="1"/>
              </font>
            </x14:dxf>
          </x14:cfRule>
          <x14:cfRule type="cellIs" priority="607" operator="equal" id="{8AF7ACAF-E3F7-4DB7-A37C-12F8C3E665B2}">
            <xm:f>'(admin) Drop Down Variables'!$D$58</xm:f>
            <x14:dxf>
              <font>
                <b/>
                <i val="0"/>
                <color auto="1"/>
              </font>
            </x14:dxf>
          </x14:cfRule>
          <x14:cfRule type="cellIs" priority="608" operator="equal" id="{BCA03988-2018-4DBA-B8E7-5F964F23E279}">
            <xm:f>'(admin) Drop Down Variables'!$D$57</xm:f>
            <x14:dxf>
              <font>
                <b/>
                <i val="0"/>
                <color auto="1"/>
              </font>
            </x14:dxf>
          </x14:cfRule>
          <x14:cfRule type="cellIs" priority="609" operator="equal" id="{E117F2B2-D854-4F13-B810-D04325D38114}">
            <xm:f>'(admin) Drop Down Variables'!$D$56</xm:f>
            <x14:dxf>
              <font>
                <b/>
                <i val="0"/>
                <color auto="1"/>
              </font>
            </x14:dxf>
          </x14:cfRule>
          <xm:sqref>G439:H444</xm:sqref>
        </x14:conditionalFormatting>
        <x14:conditionalFormatting xmlns:xm="http://schemas.microsoft.com/office/excel/2006/main">
          <x14:cfRule type="expression" priority="562" id="{8D6EF5F8-F183-4D79-9DEB-0338CDAD2215}">
            <xm:f>$H$96='(admin) Drop Down Variables'!$D$63</xm:f>
            <x14:dxf>
              <fill>
                <patternFill>
                  <bgColor rgb="FF00B050"/>
                </patternFill>
              </fill>
            </x14:dxf>
          </x14:cfRule>
          <x14:cfRule type="expression" priority="563" id="{C118C405-FDB4-4EBF-9542-DD3F71552756}">
            <xm:f>$H$96='(admin) Drop Down Variables'!$D$64</xm:f>
            <x14:dxf>
              <fill>
                <patternFill>
                  <bgColor rgb="FFFF0000"/>
                </patternFill>
              </fill>
            </x14:dxf>
          </x14:cfRule>
          <xm:sqref>I96</xm:sqref>
        </x14:conditionalFormatting>
        <x14:conditionalFormatting xmlns:xm="http://schemas.microsoft.com/office/excel/2006/main">
          <x14:cfRule type="expression" priority="560" id="{7B0ADE9D-16E5-4C60-A516-2A6BD8DEFD61}">
            <xm:f>$H$96='(admin) Drop Down Variables'!$D$63</xm:f>
            <x14:dxf>
              <fill>
                <patternFill>
                  <bgColor rgb="FF00B050"/>
                </patternFill>
              </fill>
            </x14:dxf>
          </x14:cfRule>
          <x14:cfRule type="expression" priority="561" id="{A474C8B0-950B-4FA0-AE52-4DF5DA12AC79}">
            <xm:f>$H$96='(admin) Drop Down Variables'!$D$64</xm:f>
            <x14:dxf>
              <fill>
                <patternFill>
                  <bgColor rgb="FFFF0000"/>
                </patternFill>
              </fill>
            </x14:dxf>
          </x14:cfRule>
          <xm:sqref>I97</xm:sqref>
        </x14:conditionalFormatting>
        <x14:conditionalFormatting xmlns:xm="http://schemas.microsoft.com/office/excel/2006/main">
          <x14:cfRule type="expression" priority="558" id="{14581874-8864-4D5E-AD0D-F7DE88449E1F}">
            <xm:f>$H$100='(admin) Drop Down Variables'!$D$63</xm:f>
            <x14:dxf>
              <fill>
                <patternFill>
                  <bgColor rgb="FF00B050"/>
                </patternFill>
              </fill>
            </x14:dxf>
          </x14:cfRule>
          <x14:cfRule type="expression" priority="559" id="{14AE34D1-C259-4D13-AE0E-F7E4A75DCBFA}">
            <xm:f>$H$100='(admin) Drop Down Variables'!$D$64</xm:f>
            <x14:dxf>
              <fill>
                <patternFill>
                  <bgColor rgb="FFFF0000"/>
                </patternFill>
              </fill>
            </x14:dxf>
          </x14:cfRule>
          <xm:sqref>I100:I101</xm:sqref>
        </x14:conditionalFormatting>
        <x14:conditionalFormatting xmlns:xm="http://schemas.microsoft.com/office/excel/2006/main">
          <x14:cfRule type="expression" priority="547" id="{3268EEBB-C8A1-40E3-9A74-852329A5241C}">
            <xm:f>$H$120='(admin) Drop Down Variables'!$D$64</xm:f>
            <x14:dxf>
              <fill>
                <patternFill>
                  <bgColor rgb="FFFF0000"/>
                </patternFill>
              </fill>
            </x14:dxf>
          </x14:cfRule>
          <x14:cfRule type="expression" priority="548" id="{5B906596-4543-4585-86D8-5C27E9917A2A}">
            <xm:f>$H$120='(admin) Drop Down Variables'!$D$63</xm:f>
            <x14:dxf>
              <fill>
                <patternFill>
                  <bgColor rgb="FF00B050"/>
                </patternFill>
              </fill>
            </x14:dxf>
          </x14:cfRule>
          <xm:sqref>I120</xm:sqref>
        </x14:conditionalFormatting>
        <x14:conditionalFormatting xmlns:xm="http://schemas.microsoft.com/office/excel/2006/main">
          <x14:cfRule type="expression" priority="545" id="{258C2545-BF66-4192-8531-CBA54D40283C}">
            <xm:f>$H$124='(admin) Drop Down Variables'!$D$64</xm:f>
            <x14:dxf>
              <fill>
                <patternFill>
                  <bgColor rgb="FFFF0000"/>
                </patternFill>
              </fill>
            </x14:dxf>
          </x14:cfRule>
          <x14:cfRule type="expression" priority="546" id="{1B1CB83C-1523-42A8-A9F2-BDE39A923B57}">
            <xm:f>$H$124='(admin) Drop Down Variables'!$D$63</xm:f>
            <x14:dxf>
              <fill>
                <patternFill>
                  <bgColor rgb="FF00B050"/>
                </patternFill>
              </fill>
            </x14:dxf>
          </x14:cfRule>
          <xm:sqref>I124</xm:sqref>
        </x14:conditionalFormatting>
        <x14:conditionalFormatting xmlns:xm="http://schemas.microsoft.com/office/excel/2006/main">
          <x14:cfRule type="expression" priority="536" id="{BB745F02-7266-4751-9049-CFF5043909E5}">
            <xm:f>$H$128='(admin) Drop Down Variables'!$D$64</xm:f>
            <x14:dxf>
              <fill>
                <patternFill>
                  <bgColor rgb="FFFF0000"/>
                </patternFill>
              </fill>
            </x14:dxf>
          </x14:cfRule>
          <x14:cfRule type="expression" priority="537" id="{3204DC7D-F3B0-4B4E-BA28-87429F55EFFE}">
            <xm:f>$H$128='(admin) Drop Down Variables'!$D$63</xm:f>
            <x14:dxf>
              <fill>
                <patternFill>
                  <bgColor rgb="FF00B050"/>
                </patternFill>
              </fill>
            </x14:dxf>
          </x14:cfRule>
          <xm:sqref>I128</xm:sqref>
        </x14:conditionalFormatting>
        <x14:conditionalFormatting xmlns:xm="http://schemas.microsoft.com/office/excel/2006/main">
          <x14:cfRule type="expression" priority="520" id="{172E892E-92E4-4DDF-B541-8AC2BA3F4897}">
            <xm:f>$H$132='(admin) Drop Down Variables'!$D$64</xm:f>
            <x14:dxf>
              <fill>
                <patternFill>
                  <bgColor rgb="FFFF0000"/>
                </patternFill>
              </fill>
            </x14:dxf>
          </x14:cfRule>
          <x14:cfRule type="expression" priority="521" id="{90F51631-B54F-4CB0-AC4B-2E7B62E3274D}">
            <xm:f>$H$132='(admin) Drop Down Variables'!$D$63</xm:f>
            <x14:dxf>
              <fill>
                <patternFill>
                  <bgColor rgb="FF00B050"/>
                </patternFill>
              </fill>
            </x14:dxf>
          </x14:cfRule>
          <xm:sqref>I132</xm:sqref>
        </x14:conditionalFormatting>
        <x14:conditionalFormatting xmlns:xm="http://schemas.microsoft.com/office/excel/2006/main">
          <x14:cfRule type="expression" priority="511" id="{640862E8-869E-41EA-8497-797ED1A0FDEE}">
            <xm:f>$H$136='(admin) Drop Down Variables'!$D$64</xm:f>
            <x14:dxf>
              <fill>
                <patternFill>
                  <bgColor rgb="FFFF0000"/>
                </patternFill>
              </fill>
            </x14:dxf>
          </x14:cfRule>
          <x14:cfRule type="expression" priority="512" id="{88EF4372-4574-48DB-A35C-AE4E96B00896}">
            <xm:f>$H$136='(admin) Drop Down Variables'!$D$63</xm:f>
            <x14:dxf>
              <fill>
                <patternFill>
                  <bgColor rgb="FF00B050"/>
                </patternFill>
              </fill>
            </x14:dxf>
          </x14:cfRule>
          <xm:sqref>I136</xm:sqref>
        </x14:conditionalFormatting>
        <x14:conditionalFormatting xmlns:xm="http://schemas.microsoft.com/office/excel/2006/main">
          <x14:cfRule type="expression" priority="509" id="{4490C387-C5F1-40F2-80E3-0FB711AC9AF5}">
            <xm:f>$H$140='(admin) Drop Down Variables'!$D$64</xm:f>
            <x14:dxf>
              <fill>
                <patternFill>
                  <bgColor rgb="FFFF0000"/>
                </patternFill>
              </fill>
            </x14:dxf>
          </x14:cfRule>
          <x14:cfRule type="expression" priority="510" id="{569F1835-1606-4D1C-A5E6-BE7AC9485D5B}">
            <xm:f>$H$140='(admin) Drop Down Variables'!$D$63</xm:f>
            <x14:dxf>
              <fill>
                <patternFill>
                  <bgColor rgb="FF00B050"/>
                </patternFill>
              </fill>
            </x14:dxf>
          </x14:cfRule>
          <xm:sqref>I140</xm:sqref>
        </x14:conditionalFormatting>
        <x14:conditionalFormatting xmlns:xm="http://schemas.microsoft.com/office/excel/2006/main">
          <x14:cfRule type="expression" priority="507" id="{92A6C15D-583E-4FCF-A000-B051F4408313}">
            <xm:f>$H$144='(admin) Drop Down Variables'!$D$64</xm:f>
            <x14:dxf>
              <fill>
                <patternFill>
                  <bgColor rgb="FFFF0000"/>
                </patternFill>
              </fill>
            </x14:dxf>
          </x14:cfRule>
          <x14:cfRule type="expression" priority="508" id="{542121EC-9BAB-4505-AB76-9EDD2E602307}">
            <xm:f>$H$144='(admin) Drop Down Variables'!$D$63</xm:f>
            <x14:dxf>
              <fill>
                <patternFill>
                  <bgColor rgb="FF00B050"/>
                </patternFill>
              </fill>
            </x14:dxf>
          </x14:cfRule>
          <xm:sqref>I144</xm:sqref>
        </x14:conditionalFormatting>
        <x14:conditionalFormatting xmlns:xm="http://schemas.microsoft.com/office/excel/2006/main">
          <x14:cfRule type="expression" priority="505" id="{DB72543D-FE5B-45D2-A0F0-3B549ABE7995}">
            <xm:f>$H$148='(admin) Drop Down Variables'!$D$64</xm:f>
            <x14:dxf>
              <fill>
                <patternFill>
                  <bgColor rgb="FFFF0000"/>
                </patternFill>
              </fill>
            </x14:dxf>
          </x14:cfRule>
          <x14:cfRule type="expression" priority="506" id="{FFDA2291-207A-4145-A0EF-01F92A343D95}">
            <xm:f>$H$148='(admin) Drop Down Variables'!$D$63</xm:f>
            <x14:dxf>
              <fill>
                <patternFill>
                  <bgColor rgb="FF00B050"/>
                </patternFill>
              </fill>
            </x14:dxf>
          </x14:cfRule>
          <xm:sqref>I148</xm:sqref>
        </x14:conditionalFormatting>
        <x14:conditionalFormatting xmlns:xm="http://schemas.microsoft.com/office/excel/2006/main">
          <x14:cfRule type="expression" priority="503" id="{654BAA1F-236E-4983-B43B-BC49FFB51778}">
            <xm:f>$H$152='(admin) Drop Down Variables'!$D$64</xm:f>
            <x14:dxf>
              <fill>
                <patternFill>
                  <bgColor rgb="FFFF0000"/>
                </patternFill>
              </fill>
            </x14:dxf>
          </x14:cfRule>
          <x14:cfRule type="expression" priority="504" id="{244F1612-3B53-4F7D-9DBC-AAC3273CA740}">
            <xm:f>$H$152='(admin) Drop Down Variables'!$D$63</xm:f>
            <x14:dxf>
              <fill>
                <patternFill>
                  <bgColor rgb="FF00B050"/>
                </patternFill>
              </fill>
            </x14:dxf>
          </x14:cfRule>
          <xm:sqref>I152</xm:sqref>
        </x14:conditionalFormatting>
        <x14:conditionalFormatting xmlns:xm="http://schemas.microsoft.com/office/excel/2006/main">
          <x14:cfRule type="expression" priority="501" id="{6883F156-C9DD-431C-8950-61C7F895FDEE}">
            <xm:f>$H$156='(admin) Drop Down Variables'!$D$64</xm:f>
            <x14:dxf>
              <fill>
                <patternFill>
                  <bgColor rgb="FFFF0000"/>
                </patternFill>
              </fill>
            </x14:dxf>
          </x14:cfRule>
          <x14:cfRule type="expression" priority="502" id="{77E3DD7B-F416-4F1A-A873-974623336C42}">
            <xm:f>$H$156='(admin) Drop Down Variables'!$D$63</xm:f>
            <x14:dxf>
              <fill>
                <patternFill>
                  <bgColor rgb="FF00B050"/>
                </patternFill>
              </fill>
            </x14:dxf>
          </x14:cfRule>
          <xm:sqref>I156</xm:sqref>
        </x14:conditionalFormatting>
        <x14:conditionalFormatting xmlns:xm="http://schemas.microsoft.com/office/excel/2006/main">
          <x14:cfRule type="expression" priority="498" id="{4BABB8BC-0641-471B-8A5B-A3E7494A48C5}">
            <xm:f>$H$160='(admin) Drop Down Variables'!$D$64</xm:f>
            <x14:dxf>
              <fill>
                <patternFill>
                  <bgColor rgb="FFFF0000"/>
                </patternFill>
              </fill>
            </x14:dxf>
          </x14:cfRule>
          <x14:cfRule type="expression" priority="500" id="{17196562-8D96-4107-A19E-12C2858BE5C4}">
            <xm:f>$H$160='(admin) Drop Down Variables'!$D$63</xm:f>
            <x14:dxf>
              <fill>
                <patternFill>
                  <bgColor rgb="FF00B050"/>
                </patternFill>
              </fill>
            </x14:dxf>
          </x14:cfRule>
          <xm:sqref>I160</xm:sqref>
        </x14:conditionalFormatting>
        <x14:conditionalFormatting xmlns:xm="http://schemas.microsoft.com/office/excel/2006/main">
          <x14:cfRule type="cellIs" priority="489" operator="equal" id="{EE7860C8-B95F-40D5-8DBA-E9B6480CE27F}">
            <xm:f>'(admin) Drop Down Variables'!$D$64</xm:f>
            <x14:dxf>
              <font>
                <b/>
                <i val="0"/>
                <color auto="1"/>
              </font>
            </x14:dxf>
          </x14:cfRule>
          <x14:cfRule type="cellIs" priority="490" operator="equal" id="{2F28A94D-901D-47C1-85CB-DA4B439018D0}">
            <xm:f>'(admin) Drop Down Variables'!$D$63</xm:f>
            <x14:dxf>
              <font>
                <b/>
                <i val="0"/>
                <color auto="1"/>
              </font>
            </x14:dxf>
          </x14:cfRule>
          <x14:cfRule type="cellIs" priority="491" operator="equal" id="{AA1BF300-D93B-45E8-AE60-61DC2DABBC23}">
            <xm:f>'(admin) Drop Down Variables'!$D$60</xm:f>
            <x14:dxf>
              <font>
                <b/>
                <i val="0"/>
                <color auto="1"/>
              </font>
            </x14:dxf>
          </x14:cfRule>
          <x14:cfRule type="cellIs" priority="492" operator="equal" id="{59C22731-5436-4A2C-9F95-89E8523CD76C}">
            <xm:f>'(admin) Drop Down Variables'!$D$59</xm:f>
            <x14:dxf>
              <font>
                <b/>
                <i val="0"/>
                <color auto="1"/>
              </font>
            </x14:dxf>
          </x14:cfRule>
          <x14:cfRule type="cellIs" priority="493" operator="equal" id="{FF43863F-7041-4510-81C2-9FC96F03A64A}">
            <xm:f>'(admin) Drop Down Variables'!$D$58</xm:f>
            <x14:dxf>
              <font>
                <b/>
                <i val="0"/>
                <color auto="1"/>
              </font>
            </x14:dxf>
          </x14:cfRule>
          <x14:cfRule type="cellIs" priority="494" operator="equal" id="{CAA8F071-E9D9-49FF-8EA7-C1CDBA0058F8}">
            <xm:f>'(admin) Drop Down Variables'!$D$57</xm:f>
            <x14:dxf>
              <font>
                <b/>
                <i val="0"/>
                <color auto="1"/>
              </font>
            </x14:dxf>
          </x14:cfRule>
          <x14:cfRule type="cellIs" priority="495" operator="equal" id="{4481C2DD-FF8F-45D0-A7F8-5B71B7335CF4}">
            <xm:f>'(admin) Drop Down Variables'!$D$56</xm:f>
            <x14:dxf>
              <font>
                <b/>
                <i val="0"/>
                <color auto="1"/>
              </font>
            </x14:dxf>
          </x14:cfRule>
          <xm:sqref>D164:F166</xm:sqref>
        </x14:conditionalFormatting>
        <x14:conditionalFormatting xmlns:xm="http://schemas.microsoft.com/office/excel/2006/main">
          <x14:cfRule type="expression" priority="483" id="{C2356A23-C3D6-43F8-817B-87E98763DE49}">
            <xm:f>$H$164='(admin) Drop Down Variables'!$D$64</xm:f>
            <x14:dxf>
              <fill>
                <patternFill>
                  <bgColor rgb="FFFF0000"/>
                </patternFill>
              </fill>
            </x14:dxf>
          </x14:cfRule>
          <x14:cfRule type="expression" priority="484" id="{1779460D-EBD0-4560-987F-292D69C0E175}">
            <xm:f>$H$164='(admin) Drop Down Variables'!$D$63</xm:f>
            <x14:dxf>
              <fill>
                <patternFill>
                  <bgColor rgb="FF00B050"/>
                </patternFill>
              </fill>
            </x14:dxf>
          </x14:cfRule>
          <xm:sqref>I164</xm:sqref>
        </x14:conditionalFormatting>
        <x14:conditionalFormatting xmlns:xm="http://schemas.microsoft.com/office/excel/2006/main">
          <x14:cfRule type="expression" priority="481" id="{53B48C86-3075-462B-8375-EF93D1AEAC3F}">
            <xm:f>$H$164='(admin) Drop Down Variables'!$D$64</xm:f>
            <x14:dxf>
              <fill>
                <patternFill>
                  <bgColor rgb="FFFF0000"/>
                </patternFill>
              </fill>
            </x14:dxf>
          </x14:cfRule>
          <x14:cfRule type="expression" priority="482" id="{312AD41A-4AAA-4B05-8D6E-23A5EF4DC5E1}">
            <xm:f>$H$164='(admin) Drop Down Variables'!$D$63</xm:f>
            <x14:dxf>
              <fill>
                <patternFill>
                  <bgColor rgb="FF00B050"/>
                </patternFill>
              </fill>
            </x14:dxf>
          </x14:cfRule>
          <xm:sqref>I165</xm:sqref>
        </x14:conditionalFormatting>
        <x14:conditionalFormatting xmlns:xm="http://schemas.microsoft.com/office/excel/2006/main">
          <x14:cfRule type="cellIs" priority="453" operator="equal" id="{59505585-BA5B-4B4F-BEEB-4B596CE6E2E7}">
            <xm:f>'(admin) Drop Down Variables'!$D$64</xm:f>
            <x14:dxf>
              <font>
                <b/>
                <i val="0"/>
                <color auto="1"/>
              </font>
            </x14:dxf>
          </x14:cfRule>
          <x14:cfRule type="cellIs" priority="454" operator="equal" id="{A7449510-280E-4085-BD69-0EF36796EDAE}">
            <xm:f>'(admin) Drop Down Variables'!$D$63</xm:f>
            <x14:dxf>
              <font>
                <b/>
                <i val="0"/>
                <color auto="1"/>
              </font>
            </x14:dxf>
          </x14:cfRule>
          <x14:cfRule type="cellIs" priority="455" operator="equal" id="{7E5CB227-2C44-48F8-9F8A-2D32BF87593E}">
            <xm:f>'(admin) Drop Down Variables'!$D$60</xm:f>
            <x14:dxf>
              <font>
                <b/>
                <i val="0"/>
                <color auto="1"/>
              </font>
            </x14:dxf>
          </x14:cfRule>
          <x14:cfRule type="cellIs" priority="456" operator="equal" id="{827A6DF3-E6DE-4834-9F36-4EB403D18712}">
            <xm:f>'(admin) Drop Down Variables'!$D$59</xm:f>
            <x14:dxf>
              <font>
                <b/>
                <i val="0"/>
                <color auto="1"/>
              </font>
            </x14:dxf>
          </x14:cfRule>
          <x14:cfRule type="cellIs" priority="457" operator="equal" id="{E1CC4FB0-FE10-4A72-A47A-F6774455B420}">
            <xm:f>'(admin) Drop Down Variables'!$D$58</xm:f>
            <x14:dxf>
              <font>
                <b/>
                <i val="0"/>
                <color auto="1"/>
              </font>
            </x14:dxf>
          </x14:cfRule>
          <x14:cfRule type="cellIs" priority="458" operator="equal" id="{6DC7EC8A-84B1-46FA-95FC-B1D37A1E25C4}">
            <xm:f>'(admin) Drop Down Variables'!$D$57</xm:f>
            <x14:dxf>
              <font>
                <b/>
                <i val="0"/>
                <color auto="1"/>
              </font>
            </x14:dxf>
          </x14:cfRule>
          <x14:cfRule type="cellIs" priority="459" operator="equal" id="{16CD2851-F963-4B4C-92F3-B446433E6973}">
            <xm:f>'(admin) Drop Down Variables'!$D$56</xm:f>
            <x14:dxf>
              <font>
                <b/>
                <i val="0"/>
                <color auto="1"/>
              </font>
            </x14:dxf>
          </x14:cfRule>
          <xm:sqref>G96:G101</xm:sqref>
        </x14:conditionalFormatting>
        <x14:conditionalFormatting xmlns:xm="http://schemas.microsoft.com/office/excel/2006/main">
          <x14:cfRule type="cellIs" priority="446" operator="equal" id="{A64C5266-AA56-4CFB-8BE7-FB87A14E38B9}">
            <xm:f>'(admin) Drop Down Variables'!$D$64</xm:f>
            <x14:dxf>
              <font>
                <b/>
                <i val="0"/>
                <color auto="1"/>
              </font>
            </x14:dxf>
          </x14:cfRule>
          <x14:cfRule type="cellIs" priority="447" operator="equal" id="{1D095B26-2D2B-48B8-BBA9-98AE2D988F3D}">
            <xm:f>'(admin) Drop Down Variables'!$D$63</xm:f>
            <x14:dxf>
              <font>
                <b/>
                <i val="0"/>
                <color auto="1"/>
              </font>
            </x14:dxf>
          </x14:cfRule>
          <x14:cfRule type="cellIs" priority="448" operator="equal" id="{600C4FBB-18D9-4AC0-8012-C6EE1A2BFBDE}">
            <xm:f>'(admin) Drop Down Variables'!$D$60</xm:f>
            <x14:dxf>
              <font>
                <b/>
                <i val="0"/>
                <color auto="1"/>
              </font>
            </x14:dxf>
          </x14:cfRule>
          <x14:cfRule type="cellIs" priority="449" operator="equal" id="{83400590-FBEB-4C91-B765-A8965D22077A}">
            <xm:f>'(admin) Drop Down Variables'!$D$59</xm:f>
            <x14:dxf>
              <font>
                <b/>
                <i val="0"/>
                <color auto="1"/>
              </font>
            </x14:dxf>
          </x14:cfRule>
          <x14:cfRule type="cellIs" priority="450" operator="equal" id="{D7E6F215-929D-4A1B-AA8C-92E0029288AF}">
            <xm:f>'(admin) Drop Down Variables'!$D$58</xm:f>
            <x14:dxf>
              <font>
                <b/>
                <i val="0"/>
                <color auto="1"/>
              </font>
            </x14:dxf>
          </x14:cfRule>
          <x14:cfRule type="cellIs" priority="451" operator="equal" id="{738DC231-1C73-4052-B36B-80BE981CB277}">
            <xm:f>'(admin) Drop Down Variables'!$D$57</xm:f>
            <x14:dxf>
              <font>
                <b/>
                <i val="0"/>
                <color auto="1"/>
              </font>
            </x14:dxf>
          </x14:cfRule>
          <x14:cfRule type="cellIs" priority="452" operator="equal" id="{C6490ADF-8FC4-4346-9BDF-22216E3E073E}">
            <xm:f>'(admin) Drop Down Variables'!$D$56</xm:f>
            <x14:dxf>
              <font>
                <b/>
                <i val="0"/>
                <color auto="1"/>
              </font>
            </x14:dxf>
          </x14:cfRule>
          <xm:sqref>G104:G109</xm:sqref>
        </x14:conditionalFormatting>
        <x14:conditionalFormatting xmlns:xm="http://schemas.microsoft.com/office/excel/2006/main">
          <x14:cfRule type="cellIs" priority="439" operator="equal" id="{FF8599B7-84A9-4E8E-9B61-56B15EB31584}">
            <xm:f>'(admin) Drop Down Variables'!$D$64</xm:f>
            <x14:dxf>
              <font>
                <b/>
                <i val="0"/>
                <color auto="1"/>
              </font>
            </x14:dxf>
          </x14:cfRule>
          <x14:cfRule type="cellIs" priority="440" operator="equal" id="{A4DAFADA-3B7D-4E68-94E5-1F42F2756D70}">
            <xm:f>'(admin) Drop Down Variables'!$D$63</xm:f>
            <x14:dxf>
              <font>
                <b/>
                <i val="0"/>
                <color auto="1"/>
              </font>
            </x14:dxf>
          </x14:cfRule>
          <x14:cfRule type="cellIs" priority="441" operator="equal" id="{03A5646A-F5EF-4BE2-860D-B798A2CE436C}">
            <xm:f>'(admin) Drop Down Variables'!$D$60</xm:f>
            <x14:dxf>
              <font>
                <b/>
                <i val="0"/>
                <color auto="1"/>
              </font>
            </x14:dxf>
          </x14:cfRule>
          <x14:cfRule type="cellIs" priority="442" operator="equal" id="{3AC80D08-65EC-43DC-9C1E-2DF7B7734B73}">
            <xm:f>'(admin) Drop Down Variables'!$D$59</xm:f>
            <x14:dxf>
              <font>
                <b/>
                <i val="0"/>
                <color auto="1"/>
              </font>
            </x14:dxf>
          </x14:cfRule>
          <x14:cfRule type="cellIs" priority="443" operator="equal" id="{3C708C88-A6F4-4CD6-8352-087FF52C8E8B}">
            <xm:f>'(admin) Drop Down Variables'!$D$58</xm:f>
            <x14:dxf>
              <font>
                <b/>
                <i val="0"/>
                <color auto="1"/>
              </font>
            </x14:dxf>
          </x14:cfRule>
          <x14:cfRule type="cellIs" priority="444" operator="equal" id="{D8057792-8A65-442D-88DD-EE83739C9C93}">
            <xm:f>'(admin) Drop Down Variables'!$D$57</xm:f>
            <x14:dxf>
              <font>
                <b/>
                <i val="0"/>
                <color auto="1"/>
              </font>
            </x14:dxf>
          </x14:cfRule>
          <x14:cfRule type="cellIs" priority="445" operator="equal" id="{3FB859B4-6F13-41E9-8271-87DC30C74030}">
            <xm:f>'(admin) Drop Down Variables'!$D$56</xm:f>
            <x14:dxf>
              <font>
                <b/>
                <i val="0"/>
                <color auto="1"/>
              </font>
            </x14:dxf>
          </x14:cfRule>
          <xm:sqref>G112:G117</xm:sqref>
        </x14:conditionalFormatting>
        <x14:conditionalFormatting xmlns:xm="http://schemas.microsoft.com/office/excel/2006/main">
          <x14:cfRule type="cellIs" priority="432" operator="equal" id="{584F4524-FD14-4F5B-8A13-D9D3B877C929}">
            <xm:f>'(admin) Drop Down Variables'!$D$64</xm:f>
            <x14:dxf>
              <font>
                <b/>
                <i val="0"/>
                <color auto="1"/>
              </font>
            </x14:dxf>
          </x14:cfRule>
          <x14:cfRule type="cellIs" priority="433" operator="equal" id="{4E08D3C0-BCBA-494C-A1D2-58D9D6C74182}">
            <xm:f>'(admin) Drop Down Variables'!$D$63</xm:f>
            <x14:dxf>
              <font>
                <b/>
                <i val="0"/>
                <color auto="1"/>
              </font>
            </x14:dxf>
          </x14:cfRule>
          <x14:cfRule type="cellIs" priority="434" operator="equal" id="{9DA35744-5EAF-4113-852B-FEED843DA4C4}">
            <xm:f>'(admin) Drop Down Variables'!$D$60</xm:f>
            <x14:dxf>
              <font>
                <b/>
                <i val="0"/>
                <color auto="1"/>
              </font>
            </x14:dxf>
          </x14:cfRule>
          <x14:cfRule type="cellIs" priority="435" operator="equal" id="{7EA29E6B-2A70-4160-AD7D-34BEAE9FA3D9}">
            <xm:f>'(admin) Drop Down Variables'!$D$59</xm:f>
            <x14:dxf>
              <font>
                <b/>
                <i val="0"/>
                <color auto="1"/>
              </font>
            </x14:dxf>
          </x14:cfRule>
          <x14:cfRule type="cellIs" priority="436" operator="equal" id="{8B55086D-50C9-4665-82FA-9ABC796052B1}">
            <xm:f>'(admin) Drop Down Variables'!$D$58</xm:f>
            <x14:dxf>
              <font>
                <b/>
                <i val="0"/>
                <color auto="1"/>
              </font>
            </x14:dxf>
          </x14:cfRule>
          <x14:cfRule type="cellIs" priority="437" operator="equal" id="{E11DFF81-C33A-4FCC-A922-81F42CF414DE}">
            <xm:f>'(admin) Drop Down Variables'!$D$57</xm:f>
            <x14:dxf>
              <font>
                <b/>
                <i val="0"/>
                <color auto="1"/>
              </font>
            </x14:dxf>
          </x14:cfRule>
          <x14:cfRule type="cellIs" priority="438" operator="equal" id="{4C49084D-26EE-4372-B0E5-3AC214A0E55B}">
            <xm:f>'(admin) Drop Down Variables'!$D$56</xm:f>
            <x14:dxf>
              <font>
                <b/>
                <i val="0"/>
                <color auto="1"/>
              </font>
            </x14:dxf>
          </x14:cfRule>
          <xm:sqref>G120:G125</xm:sqref>
        </x14:conditionalFormatting>
        <x14:conditionalFormatting xmlns:xm="http://schemas.microsoft.com/office/excel/2006/main">
          <x14:cfRule type="cellIs" priority="425" operator="equal" id="{88467B29-BD87-4749-A433-164DD42D4801}">
            <xm:f>'(admin) Drop Down Variables'!$D$64</xm:f>
            <x14:dxf>
              <font>
                <b/>
                <i val="0"/>
                <color auto="1"/>
              </font>
            </x14:dxf>
          </x14:cfRule>
          <x14:cfRule type="cellIs" priority="426" operator="equal" id="{B451B202-315B-4E32-9491-5396FF09BCC9}">
            <xm:f>'(admin) Drop Down Variables'!$D$63</xm:f>
            <x14:dxf>
              <font>
                <b/>
                <i val="0"/>
                <color auto="1"/>
              </font>
            </x14:dxf>
          </x14:cfRule>
          <x14:cfRule type="cellIs" priority="427" operator="equal" id="{ADC52E3A-1120-4550-AF60-A1CF79241885}">
            <xm:f>'(admin) Drop Down Variables'!$D$60</xm:f>
            <x14:dxf>
              <font>
                <b/>
                <i val="0"/>
                <color auto="1"/>
              </font>
            </x14:dxf>
          </x14:cfRule>
          <x14:cfRule type="cellIs" priority="428" operator="equal" id="{E10B7398-61E0-4724-B0CB-71AF32E4761A}">
            <xm:f>'(admin) Drop Down Variables'!$D$59</xm:f>
            <x14:dxf>
              <font>
                <b/>
                <i val="0"/>
                <color auto="1"/>
              </font>
            </x14:dxf>
          </x14:cfRule>
          <x14:cfRule type="cellIs" priority="429" operator="equal" id="{380A2134-9D75-4311-8AB6-D75F00435F5E}">
            <xm:f>'(admin) Drop Down Variables'!$D$58</xm:f>
            <x14:dxf>
              <font>
                <b/>
                <i val="0"/>
                <color auto="1"/>
              </font>
            </x14:dxf>
          </x14:cfRule>
          <x14:cfRule type="cellIs" priority="430" operator="equal" id="{FD8D56F9-47BA-48ED-840D-36F3B8886C59}">
            <xm:f>'(admin) Drop Down Variables'!$D$57</xm:f>
            <x14:dxf>
              <font>
                <b/>
                <i val="0"/>
                <color auto="1"/>
              </font>
            </x14:dxf>
          </x14:cfRule>
          <x14:cfRule type="cellIs" priority="431" operator="equal" id="{E39053B7-5368-4C05-A119-8DF54150619F}">
            <xm:f>'(admin) Drop Down Variables'!$D$56</xm:f>
            <x14:dxf>
              <font>
                <b/>
                <i val="0"/>
                <color auto="1"/>
              </font>
            </x14:dxf>
          </x14:cfRule>
          <xm:sqref>G128:G133</xm:sqref>
        </x14:conditionalFormatting>
        <x14:conditionalFormatting xmlns:xm="http://schemas.microsoft.com/office/excel/2006/main">
          <x14:cfRule type="cellIs" priority="418" operator="equal" id="{6D01BFB1-DF7B-4068-9DE3-9C1CB38FA72C}">
            <xm:f>'(admin) Drop Down Variables'!$D$64</xm:f>
            <x14:dxf>
              <font>
                <b/>
                <i val="0"/>
                <color auto="1"/>
              </font>
            </x14:dxf>
          </x14:cfRule>
          <x14:cfRule type="cellIs" priority="419" operator="equal" id="{BD4C24FA-24D6-43D9-A51C-F293ED480063}">
            <xm:f>'(admin) Drop Down Variables'!$D$63</xm:f>
            <x14:dxf>
              <font>
                <b/>
                <i val="0"/>
                <color auto="1"/>
              </font>
            </x14:dxf>
          </x14:cfRule>
          <x14:cfRule type="cellIs" priority="420" operator="equal" id="{35D91301-1FC2-4480-87A0-EBB786D9195E}">
            <xm:f>'(admin) Drop Down Variables'!$D$60</xm:f>
            <x14:dxf>
              <font>
                <b/>
                <i val="0"/>
                <color auto="1"/>
              </font>
            </x14:dxf>
          </x14:cfRule>
          <x14:cfRule type="cellIs" priority="421" operator="equal" id="{5B49BB26-2B3B-4FA3-A29B-96A957A9F2B9}">
            <xm:f>'(admin) Drop Down Variables'!$D$59</xm:f>
            <x14:dxf>
              <font>
                <b/>
                <i val="0"/>
                <color auto="1"/>
              </font>
            </x14:dxf>
          </x14:cfRule>
          <x14:cfRule type="cellIs" priority="422" operator="equal" id="{83472FD3-81C3-4D8F-995A-7883443DBD0A}">
            <xm:f>'(admin) Drop Down Variables'!$D$58</xm:f>
            <x14:dxf>
              <font>
                <b/>
                <i val="0"/>
                <color auto="1"/>
              </font>
            </x14:dxf>
          </x14:cfRule>
          <x14:cfRule type="cellIs" priority="423" operator="equal" id="{D0D30E84-DF9B-44DE-AED5-65DA8C1D884C}">
            <xm:f>'(admin) Drop Down Variables'!$D$57</xm:f>
            <x14:dxf>
              <font>
                <b/>
                <i val="0"/>
                <color auto="1"/>
              </font>
            </x14:dxf>
          </x14:cfRule>
          <x14:cfRule type="cellIs" priority="424" operator="equal" id="{7110B30E-8D20-450C-8F3D-78B883677F55}">
            <xm:f>'(admin) Drop Down Variables'!$D$56</xm:f>
            <x14:dxf>
              <font>
                <b/>
                <i val="0"/>
                <color auto="1"/>
              </font>
            </x14:dxf>
          </x14:cfRule>
          <xm:sqref>G136:G141</xm:sqref>
        </x14:conditionalFormatting>
        <x14:conditionalFormatting xmlns:xm="http://schemas.microsoft.com/office/excel/2006/main">
          <x14:cfRule type="cellIs" priority="411" operator="equal" id="{09B8A84B-EB68-4216-8C72-B9304AE1F49F}">
            <xm:f>'(admin) Drop Down Variables'!$D$64</xm:f>
            <x14:dxf>
              <font>
                <b/>
                <i val="0"/>
                <color auto="1"/>
              </font>
            </x14:dxf>
          </x14:cfRule>
          <x14:cfRule type="cellIs" priority="412" operator="equal" id="{93D6AD54-88F6-47AB-956F-059E64A91FD4}">
            <xm:f>'(admin) Drop Down Variables'!$D$63</xm:f>
            <x14:dxf>
              <font>
                <b/>
                <i val="0"/>
                <color auto="1"/>
              </font>
            </x14:dxf>
          </x14:cfRule>
          <x14:cfRule type="cellIs" priority="413" operator="equal" id="{9DBE4E77-1ABC-4093-8BBC-A1C2F77E060A}">
            <xm:f>'(admin) Drop Down Variables'!$D$60</xm:f>
            <x14:dxf>
              <font>
                <b/>
                <i val="0"/>
                <color auto="1"/>
              </font>
            </x14:dxf>
          </x14:cfRule>
          <x14:cfRule type="cellIs" priority="414" operator="equal" id="{A3D4BC5A-69C4-4CC1-86BF-FC757C4DC656}">
            <xm:f>'(admin) Drop Down Variables'!$D$59</xm:f>
            <x14:dxf>
              <font>
                <b/>
                <i val="0"/>
                <color auto="1"/>
              </font>
            </x14:dxf>
          </x14:cfRule>
          <x14:cfRule type="cellIs" priority="415" operator="equal" id="{5F6EA74C-E43F-4015-963D-609B86B69DDE}">
            <xm:f>'(admin) Drop Down Variables'!$D$58</xm:f>
            <x14:dxf>
              <font>
                <b/>
                <i val="0"/>
                <color auto="1"/>
              </font>
            </x14:dxf>
          </x14:cfRule>
          <x14:cfRule type="cellIs" priority="416" operator="equal" id="{D61FB662-18FB-456D-B8E8-BDADC5202581}">
            <xm:f>'(admin) Drop Down Variables'!$D$57</xm:f>
            <x14:dxf>
              <font>
                <b/>
                <i val="0"/>
                <color auto="1"/>
              </font>
            </x14:dxf>
          </x14:cfRule>
          <x14:cfRule type="cellIs" priority="417" operator="equal" id="{1F782B5F-6E87-4A86-BFCB-FDBA262C3BC5}">
            <xm:f>'(admin) Drop Down Variables'!$D$56</xm:f>
            <x14:dxf>
              <font>
                <b/>
                <i val="0"/>
                <color auto="1"/>
              </font>
            </x14:dxf>
          </x14:cfRule>
          <xm:sqref>G144:G149</xm:sqref>
        </x14:conditionalFormatting>
        <x14:conditionalFormatting xmlns:xm="http://schemas.microsoft.com/office/excel/2006/main">
          <x14:cfRule type="cellIs" priority="404" operator="equal" id="{E6C43D5F-F690-4822-9D19-885A84A6CDAF}">
            <xm:f>'(admin) Drop Down Variables'!$D$64</xm:f>
            <x14:dxf>
              <font>
                <b/>
                <i val="0"/>
                <color auto="1"/>
              </font>
            </x14:dxf>
          </x14:cfRule>
          <x14:cfRule type="cellIs" priority="405" operator="equal" id="{F6BA31DA-B952-4C2F-B55E-0108F345AA0B}">
            <xm:f>'(admin) Drop Down Variables'!$D$63</xm:f>
            <x14:dxf>
              <font>
                <b/>
                <i val="0"/>
                <color auto="1"/>
              </font>
            </x14:dxf>
          </x14:cfRule>
          <x14:cfRule type="cellIs" priority="406" operator="equal" id="{D367DA1A-F5B4-450F-9BD1-3511762C41DB}">
            <xm:f>'(admin) Drop Down Variables'!$D$60</xm:f>
            <x14:dxf>
              <font>
                <b/>
                <i val="0"/>
                <color auto="1"/>
              </font>
            </x14:dxf>
          </x14:cfRule>
          <x14:cfRule type="cellIs" priority="407" operator="equal" id="{00BD4ED8-5012-478C-B568-4524BE123D23}">
            <xm:f>'(admin) Drop Down Variables'!$D$59</xm:f>
            <x14:dxf>
              <font>
                <b/>
                <i val="0"/>
                <color auto="1"/>
              </font>
            </x14:dxf>
          </x14:cfRule>
          <x14:cfRule type="cellIs" priority="408" operator="equal" id="{390CB62C-A980-4528-825B-F40D88FE08D3}">
            <xm:f>'(admin) Drop Down Variables'!$D$58</xm:f>
            <x14:dxf>
              <font>
                <b/>
                <i val="0"/>
                <color auto="1"/>
              </font>
            </x14:dxf>
          </x14:cfRule>
          <x14:cfRule type="cellIs" priority="409" operator="equal" id="{82DC0DD6-01CD-4E97-A688-D33DFA463C18}">
            <xm:f>'(admin) Drop Down Variables'!$D$57</xm:f>
            <x14:dxf>
              <font>
                <b/>
                <i val="0"/>
                <color auto="1"/>
              </font>
            </x14:dxf>
          </x14:cfRule>
          <x14:cfRule type="cellIs" priority="410" operator="equal" id="{4C879528-BA60-4171-8D6F-95DFBAE5D17C}">
            <xm:f>'(admin) Drop Down Variables'!$D$56</xm:f>
            <x14:dxf>
              <font>
                <b/>
                <i val="0"/>
                <color auto="1"/>
              </font>
            </x14:dxf>
          </x14:cfRule>
          <xm:sqref>G152:G157</xm:sqref>
        </x14:conditionalFormatting>
        <x14:conditionalFormatting xmlns:xm="http://schemas.microsoft.com/office/excel/2006/main">
          <x14:cfRule type="cellIs" priority="397" operator="equal" id="{6EB0D378-6463-454C-BD7E-6E4697E62853}">
            <xm:f>'(admin) Drop Down Variables'!$D$64</xm:f>
            <x14:dxf>
              <font>
                <b/>
                <i val="0"/>
                <color auto="1"/>
              </font>
            </x14:dxf>
          </x14:cfRule>
          <x14:cfRule type="cellIs" priority="398" operator="equal" id="{2DC9B14E-79C9-4ECD-B878-638910ECB32C}">
            <xm:f>'(admin) Drop Down Variables'!$D$63</xm:f>
            <x14:dxf>
              <font>
                <b/>
                <i val="0"/>
                <color auto="1"/>
              </font>
            </x14:dxf>
          </x14:cfRule>
          <x14:cfRule type="cellIs" priority="399" operator="equal" id="{3BE6EC10-A0C3-4495-A98E-9910BCF00E93}">
            <xm:f>'(admin) Drop Down Variables'!$D$60</xm:f>
            <x14:dxf>
              <font>
                <b/>
                <i val="0"/>
                <color auto="1"/>
              </font>
            </x14:dxf>
          </x14:cfRule>
          <x14:cfRule type="cellIs" priority="400" operator="equal" id="{12B67B39-F8F0-4A9A-9C65-6DFBBA378557}">
            <xm:f>'(admin) Drop Down Variables'!$D$59</xm:f>
            <x14:dxf>
              <font>
                <b/>
                <i val="0"/>
                <color auto="1"/>
              </font>
            </x14:dxf>
          </x14:cfRule>
          <x14:cfRule type="cellIs" priority="401" operator="equal" id="{CD604A7D-241C-4409-AB04-5490D096BABD}">
            <xm:f>'(admin) Drop Down Variables'!$D$58</xm:f>
            <x14:dxf>
              <font>
                <b/>
                <i val="0"/>
                <color auto="1"/>
              </font>
            </x14:dxf>
          </x14:cfRule>
          <x14:cfRule type="cellIs" priority="402" operator="equal" id="{396C7E4F-82BD-4109-8590-B6229015EBA0}">
            <xm:f>'(admin) Drop Down Variables'!$D$57</xm:f>
            <x14:dxf>
              <font>
                <b/>
                <i val="0"/>
                <color auto="1"/>
              </font>
            </x14:dxf>
          </x14:cfRule>
          <x14:cfRule type="cellIs" priority="403" operator="equal" id="{B269DEAC-C0E1-4BE1-BEAD-C4695FC8B498}">
            <xm:f>'(admin) Drop Down Variables'!$D$56</xm:f>
            <x14:dxf>
              <font>
                <b/>
                <i val="0"/>
                <color auto="1"/>
              </font>
            </x14:dxf>
          </x14:cfRule>
          <xm:sqref>G160:G165</xm:sqref>
        </x14:conditionalFormatting>
        <x14:conditionalFormatting xmlns:xm="http://schemas.microsoft.com/office/excel/2006/main">
          <x14:cfRule type="cellIs" priority="390" operator="equal" id="{131E39F8-7F91-43C6-A321-17E3C724A051}">
            <xm:f>'(admin) Drop Down Variables'!$D$64</xm:f>
            <x14:dxf>
              <font>
                <b/>
                <i val="0"/>
                <color auto="1"/>
              </font>
            </x14:dxf>
          </x14:cfRule>
          <x14:cfRule type="cellIs" priority="391" operator="equal" id="{7DC013CA-7411-4BB5-8627-93AF62EDF8A8}">
            <xm:f>'(admin) Drop Down Variables'!$D$63</xm:f>
            <x14:dxf>
              <font>
                <b/>
                <i val="0"/>
                <color auto="1"/>
              </font>
            </x14:dxf>
          </x14:cfRule>
          <x14:cfRule type="cellIs" priority="392" operator="equal" id="{EA702C17-6F77-43A4-B3FB-DEE4C6FAD98A}">
            <xm:f>'(admin) Drop Down Variables'!$D$60</xm:f>
            <x14:dxf>
              <font>
                <b/>
                <i val="0"/>
                <color auto="1"/>
              </font>
            </x14:dxf>
          </x14:cfRule>
          <x14:cfRule type="cellIs" priority="393" operator="equal" id="{BE0A0D94-AB17-4A92-B347-E7839BB10E26}">
            <xm:f>'(admin) Drop Down Variables'!$D$59</xm:f>
            <x14:dxf>
              <font>
                <b/>
                <i val="0"/>
                <color auto="1"/>
              </font>
            </x14:dxf>
          </x14:cfRule>
          <x14:cfRule type="cellIs" priority="394" operator="equal" id="{D4C1B80B-9C56-4648-A72B-76E5592DF9D2}">
            <xm:f>'(admin) Drop Down Variables'!$D$58</xm:f>
            <x14:dxf>
              <font>
                <b/>
                <i val="0"/>
                <color auto="1"/>
              </font>
            </x14:dxf>
          </x14:cfRule>
          <x14:cfRule type="cellIs" priority="395" operator="equal" id="{3FB268D4-16C8-4999-86C8-4E8FEF8379D8}">
            <xm:f>'(admin) Drop Down Variables'!$D$57</xm:f>
            <x14:dxf>
              <font>
                <b/>
                <i val="0"/>
                <color auto="1"/>
              </font>
            </x14:dxf>
          </x14:cfRule>
          <x14:cfRule type="cellIs" priority="396" operator="equal" id="{F3EED68F-D56F-4B00-9DFF-1F050219776A}">
            <xm:f>'(admin) Drop Down Variables'!$D$56</xm:f>
            <x14:dxf>
              <font>
                <b/>
                <i val="0"/>
                <color auto="1"/>
              </font>
            </x14:dxf>
          </x14:cfRule>
          <xm:sqref>G447:G452</xm:sqref>
        </x14:conditionalFormatting>
        <x14:conditionalFormatting xmlns:xm="http://schemas.microsoft.com/office/excel/2006/main">
          <x14:cfRule type="cellIs" priority="383" operator="equal" id="{7A8364E6-DE95-4210-BA67-E77E2653EAD2}">
            <xm:f>'(admin) Drop Down Variables'!$D$64</xm:f>
            <x14:dxf>
              <font>
                <b/>
                <i val="0"/>
                <color auto="1"/>
              </font>
            </x14:dxf>
          </x14:cfRule>
          <x14:cfRule type="cellIs" priority="384" operator="equal" id="{AD041D43-FB45-47C1-97E5-6CBD13E8051B}">
            <xm:f>'(admin) Drop Down Variables'!$D$63</xm:f>
            <x14:dxf>
              <font>
                <b/>
                <i val="0"/>
                <color auto="1"/>
              </font>
            </x14:dxf>
          </x14:cfRule>
          <x14:cfRule type="cellIs" priority="385" operator="equal" id="{1E76DA14-3DA0-491F-BA18-BD1E89B78842}">
            <xm:f>'(admin) Drop Down Variables'!$D$60</xm:f>
            <x14:dxf>
              <font>
                <b/>
                <i val="0"/>
                <color auto="1"/>
              </font>
            </x14:dxf>
          </x14:cfRule>
          <x14:cfRule type="cellIs" priority="386" operator="equal" id="{9B7F0BC8-ACD2-4691-A81A-6C62E59186AE}">
            <xm:f>'(admin) Drop Down Variables'!$D$59</xm:f>
            <x14:dxf>
              <font>
                <b/>
                <i val="0"/>
                <color auto="1"/>
              </font>
            </x14:dxf>
          </x14:cfRule>
          <x14:cfRule type="cellIs" priority="387" operator="equal" id="{54534885-510F-418D-9C5C-7D0D6D67B60C}">
            <xm:f>'(admin) Drop Down Variables'!$D$58</xm:f>
            <x14:dxf>
              <font>
                <b/>
                <i val="0"/>
                <color auto="1"/>
              </font>
            </x14:dxf>
          </x14:cfRule>
          <x14:cfRule type="cellIs" priority="388" operator="equal" id="{EC635B4F-17A6-4B4B-8B39-C20E46F0CDA7}">
            <xm:f>'(admin) Drop Down Variables'!$D$57</xm:f>
            <x14:dxf>
              <font>
                <b/>
                <i val="0"/>
                <color auto="1"/>
              </font>
            </x14:dxf>
          </x14:cfRule>
          <x14:cfRule type="cellIs" priority="389" operator="equal" id="{237B40F3-F63F-4A93-A457-3546FCF09E3F}">
            <xm:f>'(admin) Drop Down Variables'!$D$56</xm:f>
            <x14:dxf>
              <font>
                <b/>
                <i val="0"/>
                <color auto="1"/>
              </font>
            </x14:dxf>
          </x14:cfRule>
          <xm:sqref>G455:G460</xm:sqref>
        </x14:conditionalFormatting>
        <x14:conditionalFormatting xmlns:xm="http://schemas.microsoft.com/office/excel/2006/main">
          <x14:cfRule type="cellIs" priority="376" operator="equal" id="{BFC4BFBB-9A88-4D84-9D20-94B4B23E60DD}">
            <xm:f>'(admin) Drop Down Variables'!$D$64</xm:f>
            <x14:dxf>
              <font>
                <b/>
                <i val="0"/>
                <color auto="1"/>
              </font>
            </x14:dxf>
          </x14:cfRule>
          <x14:cfRule type="cellIs" priority="377" operator="equal" id="{FD3E7193-19C5-4167-8483-76E516B182E0}">
            <xm:f>'(admin) Drop Down Variables'!$D$63</xm:f>
            <x14:dxf>
              <font>
                <b/>
                <i val="0"/>
                <color auto="1"/>
              </font>
            </x14:dxf>
          </x14:cfRule>
          <x14:cfRule type="cellIs" priority="378" operator="equal" id="{552B8EC2-F89D-4C8A-BA02-39D847F66C08}">
            <xm:f>'(admin) Drop Down Variables'!$D$60</xm:f>
            <x14:dxf>
              <font>
                <b/>
                <i val="0"/>
                <color auto="1"/>
              </font>
            </x14:dxf>
          </x14:cfRule>
          <x14:cfRule type="cellIs" priority="379" operator="equal" id="{59F37743-187A-4118-82D6-4DAC486394BB}">
            <xm:f>'(admin) Drop Down Variables'!$D$59</xm:f>
            <x14:dxf>
              <font>
                <b/>
                <i val="0"/>
                <color auto="1"/>
              </font>
            </x14:dxf>
          </x14:cfRule>
          <x14:cfRule type="cellIs" priority="380" operator="equal" id="{204D270C-F931-441C-864F-8F549ADDFD1A}">
            <xm:f>'(admin) Drop Down Variables'!$D$58</xm:f>
            <x14:dxf>
              <font>
                <b/>
                <i val="0"/>
                <color auto="1"/>
              </font>
            </x14:dxf>
          </x14:cfRule>
          <x14:cfRule type="cellIs" priority="381" operator="equal" id="{0517CD9D-0FC5-41C5-BE4A-69FAA36E6F12}">
            <xm:f>'(admin) Drop Down Variables'!$D$57</xm:f>
            <x14:dxf>
              <font>
                <b/>
                <i val="0"/>
                <color auto="1"/>
              </font>
            </x14:dxf>
          </x14:cfRule>
          <x14:cfRule type="cellIs" priority="382" operator="equal" id="{8CA62981-260E-43C2-99F5-01B156C7F70A}">
            <xm:f>'(admin) Drop Down Variables'!$D$56</xm:f>
            <x14:dxf>
              <font>
                <b/>
                <i val="0"/>
                <color auto="1"/>
              </font>
            </x14:dxf>
          </x14:cfRule>
          <xm:sqref>G463:G468</xm:sqref>
        </x14:conditionalFormatting>
        <x14:conditionalFormatting xmlns:xm="http://schemas.microsoft.com/office/excel/2006/main">
          <x14:cfRule type="cellIs" priority="369" operator="equal" id="{F33375B0-30FD-47EA-82BC-1C0B65CCE7EA}">
            <xm:f>'(admin) Drop Down Variables'!$D$64</xm:f>
            <x14:dxf>
              <font>
                <b/>
                <i val="0"/>
                <color auto="1"/>
              </font>
            </x14:dxf>
          </x14:cfRule>
          <x14:cfRule type="cellIs" priority="370" operator="equal" id="{D7513825-3D6C-4EEA-9565-2F215CB8BFC8}">
            <xm:f>'(admin) Drop Down Variables'!$D$63</xm:f>
            <x14:dxf>
              <font>
                <b/>
                <i val="0"/>
                <color auto="1"/>
              </font>
            </x14:dxf>
          </x14:cfRule>
          <x14:cfRule type="cellIs" priority="371" operator="equal" id="{14E9CFFC-6800-4D3B-AB5D-86A2F17E185D}">
            <xm:f>'(admin) Drop Down Variables'!$D$60</xm:f>
            <x14:dxf>
              <font>
                <b/>
                <i val="0"/>
                <color auto="1"/>
              </font>
            </x14:dxf>
          </x14:cfRule>
          <x14:cfRule type="cellIs" priority="372" operator="equal" id="{68B2812C-F96E-4702-9629-68706C37BD4E}">
            <xm:f>'(admin) Drop Down Variables'!$D$59</xm:f>
            <x14:dxf>
              <font>
                <b/>
                <i val="0"/>
                <color auto="1"/>
              </font>
            </x14:dxf>
          </x14:cfRule>
          <x14:cfRule type="cellIs" priority="373" operator="equal" id="{E826109F-B32B-4959-8C35-987E7DFBA588}">
            <xm:f>'(admin) Drop Down Variables'!$D$58</xm:f>
            <x14:dxf>
              <font>
                <b/>
                <i val="0"/>
                <color auto="1"/>
              </font>
            </x14:dxf>
          </x14:cfRule>
          <x14:cfRule type="cellIs" priority="374" operator="equal" id="{5AE21B94-BC25-45CB-AA8D-58025FB7C1BB}">
            <xm:f>'(admin) Drop Down Variables'!$D$57</xm:f>
            <x14:dxf>
              <font>
                <b/>
                <i val="0"/>
                <color auto="1"/>
              </font>
            </x14:dxf>
          </x14:cfRule>
          <x14:cfRule type="cellIs" priority="375" operator="equal" id="{2ACDA9D6-DF9D-4DDA-BD26-D3C7B4B14BCD}">
            <xm:f>'(admin) Drop Down Variables'!$D$56</xm:f>
            <x14:dxf>
              <font>
                <b/>
                <i val="0"/>
                <color auto="1"/>
              </font>
            </x14:dxf>
          </x14:cfRule>
          <xm:sqref>G471:G476</xm:sqref>
        </x14:conditionalFormatting>
        <x14:conditionalFormatting xmlns:xm="http://schemas.microsoft.com/office/excel/2006/main">
          <x14:cfRule type="cellIs" priority="362" operator="equal" id="{B8F42B22-FD26-4716-B615-5E1E4A6FEC95}">
            <xm:f>'(admin) Drop Down Variables'!$D$64</xm:f>
            <x14:dxf>
              <font>
                <b/>
                <i val="0"/>
                <color auto="1"/>
              </font>
            </x14:dxf>
          </x14:cfRule>
          <x14:cfRule type="cellIs" priority="363" operator="equal" id="{FE3171A1-8C8A-4402-AB48-112A05AC922C}">
            <xm:f>'(admin) Drop Down Variables'!$D$63</xm:f>
            <x14:dxf>
              <font>
                <b/>
                <i val="0"/>
                <color auto="1"/>
              </font>
            </x14:dxf>
          </x14:cfRule>
          <x14:cfRule type="cellIs" priority="364" operator="equal" id="{9DF3C7F3-71A8-47BE-AB0B-40EDDFE97790}">
            <xm:f>'(admin) Drop Down Variables'!$D$60</xm:f>
            <x14:dxf>
              <font>
                <b/>
                <i val="0"/>
                <color auto="1"/>
              </font>
            </x14:dxf>
          </x14:cfRule>
          <x14:cfRule type="cellIs" priority="365" operator="equal" id="{F7F0E0A2-9373-408A-A7F4-485E342DFA6B}">
            <xm:f>'(admin) Drop Down Variables'!$D$59</xm:f>
            <x14:dxf>
              <font>
                <b/>
                <i val="0"/>
                <color auto="1"/>
              </font>
            </x14:dxf>
          </x14:cfRule>
          <x14:cfRule type="cellIs" priority="366" operator="equal" id="{60235F47-385F-46CF-9312-5CC43C9BB291}">
            <xm:f>'(admin) Drop Down Variables'!$D$58</xm:f>
            <x14:dxf>
              <font>
                <b/>
                <i val="0"/>
                <color auto="1"/>
              </font>
            </x14:dxf>
          </x14:cfRule>
          <x14:cfRule type="cellIs" priority="367" operator="equal" id="{AA4E120C-E1AA-479D-97A2-835A0A60B2FB}">
            <xm:f>'(admin) Drop Down Variables'!$D$57</xm:f>
            <x14:dxf>
              <font>
                <b/>
                <i val="0"/>
                <color auto="1"/>
              </font>
            </x14:dxf>
          </x14:cfRule>
          <x14:cfRule type="cellIs" priority="368" operator="equal" id="{94E9D793-DAF7-4325-9089-224D28A4741E}">
            <xm:f>'(admin) Drop Down Variables'!$D$56</xm:f>
            <x14:dxf>
              <font>
                <b/>
                <i val="0"/>
                <color auto="1"/>
              </font>
            </x14:dxf>
          </x14:cfRule>
          <xm:sqref>G479:G484</xm:sqref>
        </x14:conditionalFormatting>
        <x14:conditionalFormatting xmlns:xm="http://schemas.microsoft.com/office/excel/2006/main">
          <x14:cfRule type="cellIs" priority="355" operator="equal" id="{F293B047-81DF-4E3B-81FC-4748BB5D14F7}">
            <xm:f>'(admin) Drop Down Variables'!$D$64</xm:f>
            <x14:dxf>
              <font>
                <b/>
                <i val="0"/>
                <color auto="1"/>
              </font>
            </x14:dxf>
          </x14:cfRule>
          <x14:cfRule type="cellIs" priority="356" operator="equal" id="{0357D8AE-F40B-4BD3-B94F-D27C790A57A4}">
            <xm:f>'(admin) Drop Down Variables'!$D$63</xm:f>
            <x14:dxf>
              <font>
                <b/>
                <i val="0"/>
                <color auto="1"/>
              </font>
            </x14:dxf>
          </x14:cfRule>
          <x14:cfRule type="cellIs" priority="357" operator="equal" id="{791CBAE6-4586-40F5-B6D3-6447D4AF72B7}">
            <xm:f>'(admin) Drop Down Variables'!$D$60</xm:f>
            <x14:dxf>
              <font>
                <b/>
                <i val="0"/>
                <color auto="1"/>
              </font>
            </x14:dxf>
          </x14:cfRule>
          <x14:cfRule type="cellIs" priority="358" operator="equal" id="{2343A0B7-53C7-4E54-BE77-18D62BF2035D}">
            <xm:f>'(admin) Drop Down Variables'!$D$59</xm:f>
            <x14:dxf>
              <font>
                <b/>
                <i val="0"/>
                <color auto="1"/>
              </font>
            </x14:dxf>
          </x14:cfRule>
          <x14:cfRule type="cellIs" priority="359" operator="equal" id="{2C386E42-2816-4896-859B-B0C80638692F}">
            <xm:f>'(admin) Drop Down Variables'!$D$58</xm:f>
            <x14:dxf>
              <font>
                <b/>
                <i val="0"/>
                <color auto="1"/>
              </font>
            </x14:dxf>
          </x14:cfRule>
          <x14:cfRule type="cellIs" priority="360" operator="equal" id="{ADA0744E-419E-4EE9-9D33-35430DE2EB6B}">
            <xm:f>'(admin) Drop Down Variables'!$D$57</xm:f>
            <x14:dxf>
              <font>
                <b/>
                <i val="0"/>
                <color auto="1"/>
              </font>
            </x14:dxf>
          </x14:cfRule>
          <x14:cfRule type="cellIs" priority="361" operator="equal" id="{6D4547FF-2180-4C59-B73C-50B99031C703}">
            <xm:f>'(admin) Drop Down Variables'!$D$56</xm:f>
            <x14:dxf>
              <font>
                <b/>
                <i val="0"/>
                <color auto="1"/>
              </font>
            </x14:dxf>
          </x14:cfRule>
          <xm:sqref>G487:G492</xm:sqref>
        </x14:conditionalFormatting>
        <x14:conditionalFormatting xmlns:xm="http://schemas.microsoft.com/office/excel/2006/main">
          <x14:cfRule type="cellIs" priority="348" operator="equal" id="{A7425C7F-06DE-4387-83ED-A79BFA3DFA4F}">
            <xm:f>'(admin) Drop Down Variables'!$D$64</xm:f>
            <x14:dxf>
              <font>
                <b/>
                <i val="0"/>
                <color auto="1"/>
              </font>
            </x14:dxf>
          </x14:cfRule>
          <x14:cfRule type="cellIs" priority="349" operator="equal" id="{A2B5EEC8-EE0F-4821-8D6A-786C15D57066}">
            <xm:f>'(admin) Drop Down Variables'!$D$63</xm:f>
            <x14:dxf>
              <font>
                <b/>
                <i val="0"/>
                <color auto="1"/>
              </font>
            </x14:dxf>
          </x14:cfRule>
          <x14:cfRule type="cellIs" priority="350" operator="equal" id="{A72DECE7-5E5E-4F36-B06A-12BEBF4064FC}">
            <xm:f>'(admin) Drop Down Variables'!$D$60</xm:f>
            <x14:dxf>
              <font>
                <b/>
                <i val="0"/>
                <color auto="1"/>
              </font>
            </x14:dxf>
          </x14:cfRule>
          <x14:cfRule type="cellIs" priority="351" operator="equal" id="{73936EC6-F9AC-42F1-871C-01705195B952}">
            <xm:f>'(admin) Drop Down Variables'!$D$59</xm:f>
            <x14:dxf>
              <font>
                <b/>
                <i val="0"/>
                <color auto="1"/>
              </font>
            </x14:dxf>
          </x14:cfRule>
          <x14:cfRule type="cellIs" priority="352" operator="equal" id="{CF66E249-D0C7-4219-B6E6-94EAD67FC234}">
            <xm:f>'(admin) Drop Down Variables'!$D$58</xm:f>
            <x14:dxf>
              <font>
                <b/>
                <i val="0"/>
                <color auto="1"/>
              </font>
            </x14:dxf>
          </x14:cfRule>
          <x14:cfRule type="cellIs" priority="353" operator="equal" id="{91C0A8B9-C5B6-468F-82E7-D7F40041E6E0}">
            <xm:f>'(admin) Drop Down Variables'!$D$57</xm:f>
            <x14:dxf>
              <font>
                <b/>
                <i val="0"/>
                <color auto="1"/>
              </font>
            </x14:dxf>
          </x14:cfRule>
          <x14:cfRule type="cellIs" priority="354" operator="equal" id="{F1C42667-224C-4924-A3D1-05B8AB754C0E}">
            <xm:f>'(admin) Drop Down Variables'!$D$56</xm:f>
            <x14:dxf>
              <font>
                <b/>
                <i val="0"/>
                <color auto="1"/>
              </font>
            </x14:dxf>
          </x14:cfRule>
          <xm:sqref>G495:G500</xm:sqref>
        </x14:conditionalFormatting>
        <x14:conditionalFormatting xmlns:xm="http://schemas.microsoft.com/office/excel/2006/main">
          <x14:cfRule type="cellIs" priority="341" operator="equal" id="{3C021028-A6EE-48D4-AA08-52105B6CAE0B}">
            <xm:f>'(admin) Drop Down Variables'!$D$64</xm:f>
            <x14:dxf>
              <font>
                <b/>
                <i val="0"/>
                <color auto="1"/>
              </font>
            </x14:dxf>
          </x14:cfRule>
          <x14:cfRule type="cellIs" priority="342" operator="equal" id="{3F98F9C5-049E-4DB3-B06D-696D5AA25EAF}">
            <xm:f>'(admin) Drop Down Variables'!$D$63</xm:f>
            <x14:dxf>
              <font>
                <b/>
                <i val="0"/>
                <color auto="1"/>
              </font>
            </x14:dxf>
          </x14:cfRule>
          <x14:cfRule type="cellIs" priority="343" operator="equal" id="{0B24BFAC-2830-478C-8682-B09F38B208BA}">
            <xm:f>'(admin) Drop Down Variables'!$D$60</xm:f>
            <x14:dxf>
              <font>
                <b/>
                <i val="0"/>
                <color auto="1"/>
              </font>
            </x14:dxf>
          </x14:cfRule>
          <x14:cfRule type="cellIs" priority="344" operator="equal" id="{43E55869-DCC3-4B42-B2C6-B469B906191E}">
            <xm:f>'(admin) Drop Down Variables'!$D$59</xm:f>
            <x14:dxf>
              <font>
                <b/>
                <i val="0"/>
                <color auto="1"/>
              </font>
            </x14:dxf>
          </x14:cfRule>
          <x14:cfRule type="cellIs" priority="345" operator="equal" id="{CE2C8ED0-0C75-4F75-895C-75795477DAAA}">
            <xm:f>'(admin) Drop Down Variables'!$D$58</xm:f>
            <x14:dxf>
              <font>
                <b/>
                <i val="0"/>
                <color auto="1"/>
              </font>
            </x14:dxf>
          </x14:cfRule>
          <x14:cfRule type="cellIs" priority="346" operator="equal" id="{5B8FA746-C03C-4635-B96A-28F66F9B050D}">
            <xm:f>'(admin) Drop Down Variables'!$D$57</xm:f>
            <x14:dxf>
              <font>
                <b/>
                <i val="0"/>
                <color auto="1"/>
              </font>
            </x14:dxf>
          </x14:cfRule>
          <x14:cfRule type="cellIs" priority="347" operator="equal" id="{F8607A00-FDAE-4DA4-A3C9-A896360D3145}">
            <xm:f>'(admin) Drop Down Variables'!$D$56</xm:f>
            <x14:dxf>
              <font>
                <b/>
                <i val="0"/>
                <color auto="1"/>
              </font>
            </x14:dxf>
          </x14:cfRule>
          <xm:sqref>G503:G508</xm:sqref>
        </x14:conditionalFormatting>
        <x14:conditionalFormatting xmlns:xm="http://schemas.microsoft.com/office/excel/2006/main">
          <x14:cfRule type="cellIs" priority="334" operator="equal" id="{A60F582D-5F64-442D-8239-56057F9232AF}">
            <xm:f>'(admin) Drop Down Variables'!$D$64</xm:f>
            <x14:dxf>
              <font>
                <b/>
                <i val="0"/>
                <color auto="1"/>
              </font>
            </x14:dxf>
          </x14:cfRule>
          <x14:cfRule type="cellIs" priority="335" operator="equal" id="{FFEDE564-9F1D-4714-BEE7-CEC03073F29A}">
            <xm:f>'(admin) Drop Down Variables'!$D$63</xm:f>
            <x14:dxf>
              <font>
                <b/>
                <i val="0"/>
                <color auto="1"/>
              </font>
            </x14:dxf>
          </x14:cfRule>
          <x14:cfRule type="cellIs" priority="336" operator="equal" id="{6C018C11-39C8-4BC9-817C-2F695BF33F0E}">
            <xm:f>'(admin) Drop Down Variables'!$D$60</xm:f>
            <x14:dxf>
              <font>
                <b/>
                <i val="0"/>
                <color auto="1"/>
              </font>
            </x14:dxf>
          </x14:cfRule>
          <x14:cfRule type="cellIs" priority="337" operator="equal" id="{99DC51EC-CFA9-476F-8D62-B763ED09B7C8}">
            <xm:f>'(admin) Drop Down Variables'!$D$59</xm:f>
            <x14:dxf>
              <font>
                <b/>
                <i val="0"/>
                <color auto="1"/>
              </font>
            </x14:dxf>
          </x14:cfRule>
          <x14:cfRule type="cellIs" priority="338" operator="equal" id="{0CA6B5E3-4059-42B4-B553-0516A672C23B}">
            <xm:f>'(admin) Drop Down Variables'!$D$58</xm:f>
            <x14:dxf>
              <font>
                <b/>
                <i val="0"/>
                <color auto="1"/>
              </font>
            </x14:dxf>
          </x14:cfRule>
          <x14:cfRule type="cellIs" priority="339" operator="equal" id="{372A9BDF-99EC-4D1F-A993-95DC84C83BCF}">
            <xm:f>'(admin) Drop Down Variables'!$D$57</xm:f>
            <x14:dxf>
              <font>
                <b/>
                <i val="0"/>
                <color auto="1"/>
              </font>
            </x14:dxf>
          </x14:cfRule>
          <x14:cfRule type="cellIs" priority="340" operator="equal" id="{E0082F52-A869-459A-B755-2A0495502F8D}">
            <xm:f>'(admin) Drop Down Variables'!$D$56</xm:f>
            <x14:dxf>
              <font>
                <b/>
                <i val="0"/>
                <color auto="1"/>
              </font>
            </x14:dxf>
          </x14:cfRule>
          <xm:sqref>G511:G516</xm:sqref>
        </x14:conditionalFormatting>
        <x14:conditionalFormatting xmlns:xm="http://schemas.microsoft.com/office/excel/2006/main">
          <x14:cfRule type="cellIs" priority="325" operator="equal" id="{F75245CD-657F-4ED0-9F96-092DC4495B8D}">
            <xm:f>'(admin) Drop Down Variables'!$D$68</xm:f>
            <x14:dxf>
              <font>
                <b/>
                <i val="0"/>
                <color rgb="FFFFFF00"/>
              </font>
              <fill>
                <patternFill>
                  <bgColor rgb="FFFF0000"/>
                </patternFill>
              </fill>
            </x14:dxf>
          </x14:cfRule>
          <x14:cfRule type="cellIs" priority="326" operator="equal" id="{A962BB25-B4EA-47F3-91AD-42EE480745B7}">
            <xm:f>'(admin) Drop Down Variables'!$D$67</xm:f>
            <x14:dxf>
              <font>
                <b/>
                <i val="0"/>
                <color rgb="FFFFFF00"/>
              </font>
              <fill>
                <patternFill>
                  <bgColor rgb="FF00B050"/>
                </patternFill>
              </fill>
            </x14:dxf>
          </x14:cfRule>
          <xm:sqref>H90 H106 H114 H122 H130 H138 H146 H154 H162 H110 H118 H126 H134 H142 H150 H158 H166 H457 H465 H473 H481 H489 H497 H505 H513 H461 H469 H477 H485 H493 H501 H509 H517</xm:sqref>
        </x14:conditionalFormatting>
        <x14:conditionalFormatting xmlns:xm="http://schemas.microsoft.com/office/excel/2006/main">
          <x14:cfRule type="cellIs" priority="323" operator="equal" id="{AA4FE2B3-2319-4FBC-A58E-E57E942D558C}">
            <xm:f>'(admin) Drop Down Variables'!$D$68</xm:f>
            <x14:dxf>
              <font>
                <b/>
                <i val="0"/>
                <color rgb="FFFFFF00"/>
              </font>
              <fill>
                <patternFill>
                  <bgColor rgb="FFFF0000"/>
                </patternFill>
              </fill>
            </x14:dxf>
          </x14:cfRule>
          <x14:cfRule type="cellIs" priority="324" operator="equal" id="{0C4E4B72-BDA1-40DE-839A-F636864A302B}">
            <xm:f>'(admin) Drop Down Variables'!$D$67</xm:f>
            <x14:dxf>
              <font>
                <b/>
                <i val="0"/>
                <color rgb="FFFFFF00"/>
              </font>
              <fill>
                <patternFill>
                  <bgColor rgb="FF00B050"/>
                </patternFill>
              </fill>
            </x14:dxf>
          </x14:cfRule>
          <xm:sqref>H94</xm:sqref>
        </x14:conditionalFormatting>
        <x14:conditionalFormatting xmlns:xm="http://schemas.microsoft.com/office/excel/2006/main">
          <x14:cfRule type="cellIs" priority="211" operator="equal" id="{5B64E33B-88A5-44F3-989C-F0E3162D7436}">
            <xm:f>'(admin) Drop Down Variables'!$D$68</xm:f>
            <x14:dxf>
              <font>
                <b/>
                <i val="0"/>
                <color rgb="FFFFFF00"/>
              </font>
              <fill>
                <patternFill>
                  <bgColor rgb="FFFF0000"/>
                </patternFill>
              </fill>
            </x14:dxf>
          </x14:cfRule>
          <x14:cfRule type="cellIs" priority="212" operator="equal" id="{B7D81E00-7A9B-416E-88AF-EA98B96255D6}">
            <xm:f>'(admin) Drop Down Variables'!$D$67</xm:f>
            <x14:dxf>
              <font>
                <b/>
                <i val="0"/>
                <color rgb="FFFFFF00"/>
              </font>
              <fill>
                <patternFill>
                  <bgColor rgb="FF00B050"/>
                </patternFill>
              </fill>
            </x14:dxf>
          </x14:cfRule>
          <xm:sqref>H441</xm:sqref>
        </x14:conditionalFormatting>
        <x14:conditionalFormatting xmlns:xm="http://schemas.microsoft.com/office/excel/2006/main">
          <x14:cfRule type="cellIs" priority="209" operator="equal" id="{7AB1F346-A489-4FA7-AB40-DAA77FC004CA}">
            <xm:f>'(admin) Drop Down Variables'!$D$68</xm:f>
            <x14:dxf>
              <font>
                <b/>
                <i val="0"/>
                <color rgb="FFFFFF00"/>
              </font>
              <fill>
                <patternFill>
                  <bgColor rgb="FFFF0000"/>
                </patternFill>
              </fill>
            </x14:dxf>
          </x14:cfRule>
          <x14:cfRule type="cellIs" priority="210" operator="equal" id="{EA1C0D78-4E06-47CD-8D55-8F113C0A6779}">
            <xm:f>'(admin) Drop Down Variables'!$D$67</xm:f>
            <x14:dxf>
              <font>
                <b/>
                <i val="0"/>
                <color rgb="FFFFFF00"/>
              </font>
              <fill>
                <patternFill>
                  <bgColor rgb="FF00B050"/>
                </patternFill>
              </fill>
            </x14:dxf>
          </x14:cfRule>
          <xm:sqref>H445</xm:sqref>
        </x14:conditionalFormatting>
        <x14:conditionalFormatting xmlns:xm="http://schemas.microsoft.com/office/excel/2006/main">
          <x14:cfRule type="cellIs" priority="99" operator="equal" id="{446F4BCC-52D8-461A-AF82-133B747A8970}">
            <xm:f>'(admin) Drop Down Variables'!$D$68</xm:f>
            <x14:dxf>
              <font>
                <b/>
                <i val="0"/>
                <color rgb="FFFFFF00"/>
              </font>
              <fill>
                <patternFill>
                  <bgColor rgb="FFFF0000"/>
                </patternFill>
              </fill>
            </x14:dxf>
          </x14:cfRule>
          <x14:cfRule type="cellIs" priority="100" operator="equal" id="{AC41F7DC-85BB-46DE-817C-1CCF03973EA6}">
            <xm:f>'(admin) Drop Down Variables'!$D$67</xm:f>
            <x14:dxf>
              <font>
                <b/>
                <i val="0"/>
                <color rgb="FFFFFF00"/>
              </font>
              <fill>
                <patternFill>
                  <bgColor rgb="FF00B050"/>
                </patternFill>
              </fill>
            </x14:dxf>
          </x14:cfRule>
          <xm:sqref>H98</xm:sqref>
        </x14:conditionalFormatting>
        <x14:conditionalFormatting xmlns:xm="http://schemas.microsoft.com/office/excel/2006/main">
          <x14:cfRule type="cellIs" priority="108" operator="equal" id="{ACED2DE5-E97A-40C4-AB5A-1B94585E8A0A}">
            <xm:f>'(admin) Drop Down Variables'!$D$57</xm:f>
            <x14:dxf>
              <font>
                <b/>
                <i val="0"/>
                <color auto="1"/>
              </font>
            </x14:dxf>
          </x14:cfRule>
          <xm:sqref>G418:G427</xm:sqref>
        </x14:conditionalFormatting>
        <x14:conditionalFormatting xmlns:xm="http://schemas.microsoft.com/office/excel/2006/main">
          <x14:cfRule type="cellIs" priority="101" operator="equal" id="{3CFA0C60-3D16-49F1-94A4-AF996A19CC81}">
            <xm:f>'(admin) Drop Down Variables'!$D$64</xm:f>
            <x14:dxf>
              <font>
                <b/>
                <i val="0"/>
                <color auto="1"/>
              </font>
            </x14:dxf>
          </x14:cfRule>
          <x14:cfRule type="cellIs" priority="102" operator="equal" id="{A7B7D8E5-D321-4EB3-85FD-68FF01E51964}">
            <xm:f>'(admin) Drop Down Variables'!$D$63</xm:f>
            <x14:dxf>
              <font>
                <b/>
                <i val="0"/>
                <color auto="1"/>
              </font>
            </x14:dxf>
          </x14:cfRule>
          <x14:cfRule type="cellIs" priority="103" operator="equal" id="{293D5B9C-6DF7-4A7B-87FF-E3C8FDB3AED7}">
            <xm:f>'(admin) Drop Down Variables'!$D$60</xm:f>
            <x14:dxf>
              <font>
                <b/>
                <i val="0"/>
                <color auto="1"/>
              </font>
            </x14:dxf>
          </x14:cfRule>
          <x14:cfRule type="cellIs" priority="104" operator="equal" id="{E12567CC-114E-4FB8-BFCF-C6B8BBB33CA7}">
            <xm:f>'(admin) Drop Down Variables'!$D$59</xm:f>
            <x14:dxf>
              <font>
                <b/>
                <i val="0"/>
                <color auto="1"/>
              </font>
            </x14:dxf>
          </x14:cfRule>
          <x14:cfRule type="cellIs" priority="105" operator="equal" id="{A681906A-42FF-4920-BD09-14243F64A83B}">
            <xm:f>'(admin) Drop Down Variables'!$D$58</xm:f>
            <x14:dxf>
              <font>
                <b/>
                <i val="0"/>
                <color auto="1"/>
              </font>
            </x14:dxf>
          </x14:cfRule>
          <x14:cfRule type="cellIs" priority="106" operator="equal" id="{5278894B-24DC-419B-9292-D5B88B7DF5B4}">
            <xm:f>'(admin) Drop Down Variables'!$D$57</xm:f>
            <x14:dxf>
              <font>
                <b/>
                <i val="0"/>
                <color auto="1"/>
              </font>
            </x14:dxf>
          </x14:cfRule>
          <x14:cfRule type="cellIs" priority="107" operator="equal" id="{27D106C9-212E-44F8-87C8-B1926006C92A}">
            <xm:f>'(admin) Drop Down Variables'!$D$56</xm:f>
            <x14:dxf>
              <font>
                <b/>
                <i val="0"/>
                <color auto="1"/>
              </font>
            </x14:dxf>
          </x14:cfRule>
          <xm:sqref>H96:H101</xm:sqref>
        </x14:conditionalFormatting>
        <x14:conditionalFormatting xmlns:xm="http://schemas.microsoft.com/office/excel/2006/main">
          <x14:cfRule type="cellIs" priority="97" operator="equal" id="{03D15564-3B6F-4F69-A5C5-9EA727B1A04C}">
            <xm:f>'(admin) Drop Down Variables'!$D$68</xm:f>
            <x14:dxf>
              <font>
                <b/>
                <i val="0"/>
                <color rgb="FFFFFF00"/>
              </font>
              <fill>
                <patternFill>
                  <bgColor rgb="FFFF0000"/>
                </patternFill>
              </fill>
            </x14:dxf>
          </x14:cfRule>
          <x14:cfRule type="cellIs" priority="98" operator="equal" id="{588105D4-43EE-4962-AA3D-D097BEC2AF06}">
            <xm:f>'(admin) Drop Down Variables'!$D$67</xm:f>
            <x14:dxf>
              <font>
                <b/>
                <i val="0"/>
                <color rgb="FFFFFF00"/>
              </font>
              <fill>
                <patternFill>
                  <bgColor rgb="FF00B050"/>
                </patternFill>
              </fill>
            </x14:dxf>
          </x14:cfRule>
          <xm:sqref>H102</xm:sqref>
        </x14:conditionalFormatting>
        <x14:conditionalFormatting xmlns:xm="http://schemas.microsoft.com/office/excel/2006/main">
          <x14:cfRule type="cellIs" priority="90" operator="equal" id="{D0BA6C45-16BA-4D07-8B31-FFB97943BFFB}">
            <xm:f>'(admin) Drop Down Variables'!$D$64</xm:f>
            <x14:dxf>
              <font>
                <b/>
                <i val="0"/>
                <color auto="1"/>
              </font>
            </x14:dxf>
          </x14:cfRule>
          <x14:cfRule type="cellIs" priority="91" operator="equal" id="{7BEC3C96-3A46-400F-A22F-370111492A7A}">
            <xm:f>'(admin) Drop Down Variables'!$D$63</xm:f>
            <x14:dxf>
              <font>
                <b/>
                <i val="0"/>
                <color auto="1"/>
              </font>
            </x14:dxf>
          </x14:cfRule>
          <x14:cfRule type="cellIs" priority="92" operator="equal" id="{164021DC-8A14-4C68-9A9E-167F28813FDE}">
            <xm:f>'(admin) Drop Down Variables'!$D$60</xm:f>
            <x14:dxf>
              <font>
                <b/>
                <i val="0"/>
                <color auto="1"/>
              </font>
            </x14:dxf>
          </x14:cfRule>
          <x14:cfRule type="cellIs" priority="93" operator="equal" id="{FEA6374E-8161-4D0E-80BE-DCAB2D2C6582}">
            <xm:f>'(admin) Drop Down Variables'!$D$59</xm:f>
            <x14:dxf>
              <font>
                <b/>
                <i val="0"/>
                <color auto="1"/>
              </font>
            </x14:dxf>
          </x14:cfRule>
          <x14:cfRule type="cellIs" priority="94" operator="equal" id="{1F6D8A21-85AE-475E-A695-5AA7DF6963C2}">
            <xm:f>'(admin) Drop Down Variables'!$D$58</xm:f>
            <x14:dxf>
              <font>
                <b/>
                <i val="0"/>
                <color auto="1"/>
              </font>
            </x14:dxf>
          </x14:cfRule>
          <x14:cfRule type="cellIs" priority="95" operator="equal" id="{FC6D940E-3BD0-4813-85FD-FDAA8EB6CDC1}">
            <xm:f>'(admin) Drop Down Variables'!$D$57</xm:f>
            <x14:dxf>
              <font>
                <b/>
                <i val="0"/>
                <color auto="1"/>
              </font>
            </x14:dxf>
          </x14:cfRule>
          <x14:cfRule type="cellIs" priority="96" operator="equal" id="{EF0AD1D2-C3D2-4286-A86C-B4CB6EF8456B}">
            <xm:f>'(admin) Drop Down Variables'!$D$56</xm:f>
            <x14:dxf>
              <font>
                <b/>
                <i val="0"/>
                <color auto="1"/>
              </font>
            </x14:dxf>
          </x14:cfRule>
          <xm:sqref>H447:H452</xm:sqref>
        </x14:conditionalFormatting>
        <x14:conditionalFormatting xmlns:xm="http://schemas.microsoft.com/office/excel/2006/main">
          <x14:cfRule type="cellIs" priority="88" operator="equal" id="{8CBD82F4-9618-46C4-AD14-6286244313DD}">
            <xm:f>'(admin) Drop Down Variables'!$D$68</xm:f>
            <x14:dxf>
              <font>
                <b/>
                <i val="0"/>
                <color rgb="FFFFFF00"/>
              </font>
              <fill>
                <patternFill>
                  <bgColor rgb="FFFF0000"/>
                </patternFill>
              </fill>
            </x14:dxf>
          </x14:cfRule>
          <x14:cfRule type="cellIs" priority="89" operator="equal" id="{A3BAEF94-907D-49DE-A836-635A7D793720}">
            <xm:f>'(admin) Drop Down Variables'!$D$67</xm:f>
            <x14:dxf>
              <font>
                <b/>
                <i val="0"/>
                <color rgb="FFFFFF00"/>
              </font>
              <fill>
                <patternFill>
                  <bgColor rgb="FF00B050"/>
                </patternFill>
              </fill>
            </x14:dxf>
          </x14:cfRule>
          <xm:sqref>H449</xm:sqref>
        </x14:conditionalFormatting>
        <x14:conditionalFormatting xmlns:xm="http://schemas.microsoft.com/office/excel/2006/main">
          <x14:cfRule type="cellIs" priority="86" operator="equal" id="{4263670C-F1FA-422E-B29B-FFD21B072852}">
            <xm:f>'(admin) Drop Down Variables'!$D$68</xm:f>
            <x14:dxf>
              <font>
                <b/>
                <i val="0"/>
                <color rgb="FFFFFF00"/>
              </font>
              <fill>
                <patternFill>
                  <bgColor rgb="FFFF0000"/>
                </patternFill>
              </fill>
            </x14:dxf>
          </x14:cfRule>
          <x14:cfRule type="cellIs" priority="87" operator="equal" id="{311E30DE-22BF-4CAD-910E-428F960E506C}">
            <xm:f>'(admin) Drop Down Variables'!$D$67</xm:f>
            <x14:dxf>
              <font>
                <b/>
                <i val="0"/>
                <color rgb="FFFFFF00"/>
              </font>
              <fill>
                <patternFill>
                  <bgColor rgb="FF00B050"/>
                </patternFill>
              </fill>
            </x14:dxf>
          </x14:cfRule>
          <xm:sqref>H453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00000000-0002-0000-0400-000000000000}">
          <x14:formula1>
            <xm:f>'(admin) Drop Down Variables'!$D$55:$D$61</xm:f>
          </x14:formula1>
          <xm:sqref>G515 G88 G92 G96 G100 G104 G108 G112 G116 G120 G124 G128 G132 G136 G140 G144 G148 G152 G156 G160 G164 G188:G197 G418:G427 G439 G443 G447 G451 G455 G459 G463 G467 G471 G475 G479 G483 G487 G491 G495 G499 G503 G507 G511</xm:sqref>
        </x14:dataValidation>
        <x14:dataValidation type="list" allowBlank="1" showInputMessage="1" showErrorMessage="1" xr:uid="{00000000-0002-0000-0400-000001000000}">
          <x14:formula1>
            <xm:f>'(admin) Drop Down Variables'!$D$66:$D$69</xm:f>
          </x14:formula1>
          <xm:sqref>H517 H441 H90 H94 H98 H102 H106 H110 H114 H118 H122 H126 H130 H134 H138 H142 H146 H150 H154 H158 H162 H166 H445 H449 H453 H457 H461 H465 H469 H473 H477 H481 H485 H489 H493 H497 H501 H505 H509 H513</xm:sqref>
        </x14:dataValidation>
        <x14:dataValidation type="list" allowBlank="1" showInputMessage="1" showErrorMessage="1" xr:uid="{00000000-0002-0000-0400-000002000000}">
          <x14:formula1>
            <xm:f>'(admin) Drop Down Variables'!$D$62:$D$65</xm:f>
          </x14:formula1>
          <xm:sqref>H515 H88 H164 H92 H96 H100 H104 H108 H112 H116 H120 H124 H128 H132 H136 H140 H144 H148 H152 H156 H160 H418:H427 H439 H443 H447 H451 H455 H459 H463 H467 H471 H475 H479 H483 H487 H491 H495 H499 H503 H507 H511</xm:sqref>
        </x14:dataValidation>
        <x14:dataValidation type="list" allowBlank="1" showInputMessage="1" showErrorMessage="1" xr:uid="{00000000-0002-0000-0400-000004000000}">
          <x14:formula1>
            <xm:f>'4. Panel Member Index'!$F$66:$F$66</xm:f>
          </x14:formula1>
          <xm:sqref>G416</xm:sqref>
        </x14:dataValidation>
        <x14:dataValidation type="list" allowBlank="1" showInputMessage="1" showErrorMessage="1" xr:uid="{00000000-0002-0000-0400-000005000000}">
          <x14:formula1>
            <xm:f>'(admin) Drop Down Variables'!$D$82:$D$86</xm:f>
          </x14:formula1>
          <xm:sqref>F544</xm:sqref>
        </x14:dataValidation>
        <x14:dataValidation type="list" allowBlank="1" showInputMessage="1" showErrorMessage="1" xr:uid="{00000000-0002-0000-0400-000006000000}">
          <x14:formula1>
            <xm:f>'(admin) Drop Down Variables'!$D$70:$D$75</xm:f>
          </x14:formula1>
          <xm:sqref>F240</xm:sqref>
        </x14:dataValidation>
        <x14:dataValidation type="list" allowBlank="1" showInputMessage="1" showErrorMessage="1" xr:uid="{00000000-0002-0000-0400-000007000000}">
          <x14:formula1>
            <xm:f>'(admin) Drop Down Variables'!$D$76:$D$79</xm:f>
          </x14:formula1>
          <xm:sqref>G246</xm:sqref>
        </x14:dataValidation>
        <x14:dataValidation type="list" allowBlank="1" showInputMessage="1" showErrorMessage="1" xr:uid="{00000000-0002-0000-0400-000008000000}">
          <x14:formula1>
            <xm:f>'(admin) Drop Down Variables'!$D$87:$D$90</xm:f>
          </x14:formula1>
          <xm:sqref>G554</xm:sqref>
        </x14:dataValidation>
        <x14:dataValidation type="list" allowBlank="1" showInputMessage="1" showErrorMessage="1" xr:uid="{00000000-0002-0000-0400-000003000000}">
          <x14:formula1>
            <xm:f>'(admin) Drop Down Variables'!$D$27:$D$44</xm:f>
          </x14:formula1>
          <xm:sqref>G411:G415 G211:G215</xm:sqref>
        </x14:dataValidation>
        <x14:dataValidation type="list" allowBlank="1" showInputMessage="1" showErrorMessage="1" xr:uid="{DEA3EE6D-1056-45B5-A58F-03F4A4664DC4}">
          <x14:formula1>
            <xm:f>'(admin) Drop Down Variables'!$D$40:$D$41</xm:f>
          </x14:formula1>
          <xm:sqref>C384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B050"/>
  </sheetPr>
  <dimension ref="C2:CB80"/>
  <sheetViews>
    <sheetView topLeftCell="A36" zoomScale="85" zoomScaleNormal="85" zoomScaleSheetLayoutView="100" zoomScalePageLayoutView="85" workbookViewId="0">
      <selection activeCell="B53" activeCellId="1" sqref="A34:BM60 B52:BM69"/>
    </sheetView>
  </sheetViews>
  <sheetFormatPr defaultColWidth="3.5703125" defaultRowHeight="15.6"/>
  <cols>
    <col min="1" max="3" width="3.140625" style="272" customWidth="1"/>
    <col min="4" max="34" width="4" style="272" customWidth="1"/>
    <col min="35" max="35" width="3.5703125" style="272"/>
    <col min="36" max="36" width="9.42578125" style="272" bestFit="1" customWidth="1"/>
    <col min="37" max="37" width="2.5703125" style="272" customWidth="1"/>
    <col min="38" max="38" width="10" style="272" bestFit="1" customWidth="1"/>
    <col min="39" max="40" width="3.5703125" style="272"/>
    <col min="41" max="41" width="3.28515625" style="272" customWidth="1"/>
    <col min="42" max="16384" width="3.5703125" style="272"/>
  </cols>
  <sheetData>
    <row r="2" spans="3:80">
      <c r="E2" s="584" t="s">
        <v>270</v>
      </c>
      <c r="F2" s="584"/>
      <c r="G2" s="584"/>
      <c r="H2" s="584"/>
      <c r="I2" s="584"/>
      <c r="J2" s="584"/>
      <c r="K2" s="584"/>
      <c r="L2" s="584"/>
      <c r="M2" s="584"/>
      <c r="N2" s="584"/>
      <c r="O2" s="584"/>
      <c r="P2" s="584"/>
    </row>
    <row r="3" spans="3:80">
      <c r="E3" s="311"/>
      <c r="F3" s="311"/>
      <c r="G3" s="311"/>
      <c r="H3" s="311"/>
      <c r="I3" s="311"/>
      <c r="J3" s="311"/>
      <c r="K3" s="311"/>
      <c r="L3" s="311"/>
      <c r="M3" s="311"/>
      <c r="N3" s="311"/>
      <c r="O3" s="311"/>
      <c r="P3" s="311"/>
    </row>
    <row r="4" spans="3:80">
      <c r="C4" s="273"/>
      <c r="D4" s="278"/>
      <c r="E4" s="279"/>
      <c r="F4" s="279"/>
      <c r="G4" s="279"/>
      <c r="H4" s="47"/>
      <c r="I4" s="279"/>
      <c r="J4" s="279"/>
      <c r="K4" s="279"/>
      <c r="L4" s="279"/>
      <c r="M4" s="279"/>
      <c r="N4" s="279"/>
      <c r="O4" s="279"/>
      <c r="P4" s="279"/>
      <c r="Q4" s="279"/>
      <c r="R4" s="279"/>
      <c r="S4" s="279"/>
      <c r="T4" s="279"/>
      <c r="U4" s="279"/>
      <c r="V4" s="279"/>
      <c r="W4" s="279"/>
      <c r="X4" s="279"/>
      <c r="Y4" s="279"/>
      <c r="Z4" s="279"/>
      <c r="AA4" s="279"/>
      <c r="AB4" s="279"/>
      <c r="AC4" s="280" t="s">
        <v>84</v>
      </c>
      <c r="AD4" s="586" t="s">
        <v>271</v>
      </c>
      <c r="AE4" s="719"/>
      <c r="AF4" s="719"/>
      <c r="AG4" s="719"/>
      <c r="AH4" s="720"/>
      <c r="AI4" s="274"/>
    </row>
    <row r="5" spans="3:80" ht="15.75" customHeight="1">
      <c r="C5" s="273"/>
      <c r="D5" s="281"/>
      <c r="E5" s="282"/>
      <c r="F5" s="282"/>
      <c r="G5" s="282"/>
      <c r="H5" s="282"/>
      <c r="I5" s="282"/>
      <c r="J5" s="283"/>
      <c r="K5" s="282"/>
      <c r="L5" s="282"/>
      <c r="M5" s="282"/>
      <c r="N5" s="282"/>
      <c r="O5" s="282"/>
      <c r="P5" s="282"/>
      <c r="Q5" s="282"/>
      <c r="R5" s="282"/>
      <c r="S5" s="282"/>
      <c r="T5" s="282"/>
      <c r="U5" s="282"/>
      <c r="V5" s="282"/>
      <c r="W5" s="282"/>
      <c r="X5" s="282"/>
      <c r="Y5" s="282"/>
      <c r="Z5" s="282"/>
      <c r="AA5" s="282"/>
      <c r="AB5" s="282"/>
      <c r="AC5" s="282"/>
      <c r="AD5" s="282"/>
      <c r="AE5" s="282"/>
      <c r="AF5" s="282"/>
      <c r="AG5" s="282"/>
      <c r="AH5" s="49"/>
      <c r="AI5" s="274"/>
    </row>
    <row r="6" spans="3:80">
      <c r="C6" s="273"/>
      <c r="D6" s="284" t="s">
        <v>272</v>
      </c>
      <c r="E6" s="279"/>
      <c r="F6" s="279"/>
      <c r="G6" s="279"/>
      <c r="H6" s="279"/>
      <c r="I6" s="279"/>
      <c r="J6" s="282"/>
      <c r="K6" s="279"/>
      <c r="L6" s="633" t="str">
        <f>IF(AO21="",
    "PRODUCT APPRAISAL: "&amp;'2. Application'!E17,
    IF(LEN(AO21&lt;=61),
        AO21,
        "PRODUCT APPRAISAL: "&amp;'2. Application'!E17))</f>
        <v>PRODUCT APPRAISAL: enter here</v>
      </c>
      <c r="M6" s="634"/>
      <c r="N6" s="634"/>
      <c r="O6" s="634"/>
      <c r="P6" s="634"/>
      <c r="Q6" s="634"/>
      <c r="R6" s="634"/>
      <c r="S6" s="634"/>
      <c r="T6" s="634"/>
      <c r="U6" s="634"/>
      <c r="V6" s="634"/>
      <c r="W6" s="634"/>
      <c r="X6" s="634"/>
      <c r="Y6" s="634"/>
      <c r="Z6" s="634"/>
      <c r="AA6" s="634"/>
      <c r="AB6" s="634"/>
      <c r="AC6" s="634"/>
      <c r="AD6" s="634"/>
      <c r="AE6" s="634"/>
      <c r="AF6" s="634"/>
      <c r="AG6" s="634"/>
      <c r="AH6" s="286"/>
      <c r="AI6" s="274"/>
      <c r="AJ6" s="721" t="str">
        <f>IF(OR('2. Application'!E17="as above",'2. Application'!E17="as",'2. Application'!E17="above",'2. Application'!E17="refer",'2. Application'!E17="refer above"),"Check 3. Billing details information from 2. Application Tab.","")</f>
        <v/>
      </c>
      <c r="AK6" s="678"/>
      <c r="AL6" s="678"/>
      <c r="AM6" s="678"/>
      <c r="AN6" s="678"/>
      <c r="AO6" s="678"/>
      <c r="AP6" s="678"/>
      <c r="AQ6" s="678"/>
      <c r="AR6" s="678"/>
      <c r="AS6" s="678"/>
      <c r="AT6" s="678"/>
      <c r="AU6" s="678"/>
      <c r="AV6" s="678"/>
      <c r="AW6" s="678"/>
      <c r="AX6" s="678"/>
      <c r="AY6" s="678"/>
      <c r="AZ6" s="678"/>
      <c r="BA6" s="678"/>
      <c r="BB6" s="678"/>
      <c r="BC6" s="678"/>
      <c r="BD6" s="678"/>
      <c r="BE6" s="678"/>
      <c r="BF6" s="678"/>
      <c r="BG6" s="678"/>
      <c r="BH6" s="678"/>
      <c r="BI6" s="678"/>
      <c r="BJ6" s="678"/>
      <c r="BK6" s="678"/>
      <c r="BL6" s="678"/>
      <c r="BM6" s="678"/>
    </row>
    <row r="7" spans="3:80">
      <c r="C7" s="273"/>
      <c r="D7" s="356" t="s">
        <v>273</v>
      </c>
      <c r="E7" s="282"/>
      <c r="F7" s="282"/>
      <c r="G7" s="282"/>
      <c r="H7" s="282"/>
      <c r="I7" s="282"/>
      <c r="J7" s="282"/>
      <c r="K7" s="282"/>
      <c r="L7" s="397"/>
      <c r="M7" s="397"/>
      <c r="N7" s="397"/>
      <c r="O7" s="397"/>
      <c r="P7" s="397"/>
      <c r="Q7" s="397"/>
      <c r="R7" s="397"/>
      <c r="S7" s="397"/>
      <c r="T7" s="397"/>
      <c r="U7" s="397"/>
      <c r="V7" s="397"/>
      <c r="W7" s="397"/>
      <c r="X7" s="397"/>
      <c r="Y7" s="397"/>
      <c r="Z7" s="397"/>
      <c r="AA7" s="397"/>
      <c r="AB7" s="397"/>
      <c r="AC7" s="397"/>
      <c r="AD7" s="397"/>
      <c r="AE7" s="397"/>
      <c r="AF7" s="397"/>
      <c r="AG7" s="397"/>
      <c r="AH7" s="49"/>
      <c r="AI7" s="274"/>
    </row>
    <row r="8" spans="3:80" ht="15.75" customHeight="1">
      <c r="C8" s="273"/>
      <c r="D8" s="287"/>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8"/>
      <c r="AI8" s="274"/>
    </row>
    <row r="9" spans="3:80">
      <c r="C9" s="273"/>
      <c r="D9" s="304" t="s">
        <v>274</v>
      </c>
      <c r="E9" s="279"/>
      <c r="F9" s="279"/>
      <c r="G9" s="279"/>
      <c r="H9" s="279"/>
      <c r="I9" s="279"/>
      <c r="J9" s="282"/>
      <c r="K9" s="279"/>
      <c r="L9" s="285" t="str">
        <f>'2. Application'!E17</f>
        <v>enter here</v>
      </c>
      <c r="M9" s="279"/>
      <c r="N9" s="279"/>
      <c r="O9" s="279"/>
      <c r="P9" s="279"/>
      <c r="Q9" s="279"/>
      <c r="R9" s="279"/>
      <c r="S9" s="279"/>
      <c r="T9" s="279"/>
      <c r="U9" s="279"/>
      <c r="V9" s="279"/>
      <c r="W9" s="279"/>
      <c r="X9" s="279"/>
      <c r="Y9" s="279"/>
      <c r="Z9" s="279"/>
      <c r="AA9" s="279"/>
      <c r="AB9" s="279"/>
      <c r="AC9" s="279"/>
      <c r="AD9" s="279"/>
      <c r="AE9" s="279"/>
      <c r="AF9" s="279"/>
      <c r="AG9" s="279"/>
      <c r="AH9" s="286"/>
      <c r="AI9" s="274"/>
      <c r="AJ9" s="721" t="str">
        <f>IF(OR('2. Application'!E18="as above",'2. Application'!E18="as",'2. Application'!E18="above",'2. Application'!E18="refer",'2. Application'!E18="refer above"),"Check 3. Billing details information from 2. Application Tab.","")</f>
        <v/>
      </c>
      <c r="AK9" s="678"/>
      <c r="AL9" s="678"/>
      <c r="AM9" s="678"/>
      <c r="AN9" s="678"/>
      <c r="AO9" s="678"/>
      <c r="AP9" s="678"/>
      <c r="AQ9" s="678"/>
      <c r="AR9" s="678"/>
      <c r="AS9" s="678"/>
      <c r="AT9" s="678"/>
      <c r="AU9" s="678"/>
      <c r="AV9" s="678"/>
      <c r="AW9" s="678"/>
      <c r="AX9" s="678"/>
      <c r="AY9" s="678"/>
      <c r="AZ9" s="678"/>
      <c r="BA9" s="678"/>
      <c r="BB9" s="678"/>
      <c r="BC9" s="678"/>
      <c r="BD9" s="678"/>
      <c r="BE9" s="678"/>
      <c r="BF9" s="678"/>
      <c r="BG9" s="678"/>
      <c r="BH9" s="678"/>
      <c r="BI9" s="678"/>
      <c r="BJ9" s="678"/>
      <c r="BK9" s="678"/>
      <c r="BL9" s="678"/>
      <c r="BM9" s="678"/>
    </row>
    <row r="10" spans="3:80">
      <c r="C10" s="273"/>
      <c r="D10" s="356" t="s">
        <v>273</v>
      </c>
      <c r="E10" s="282"/>
      <c r="F10" s="282"/>
      <c r="G10" s="282"/>
      <c r="H10" s="282"/>
      <c r="I10" s="282"/>
      <c r="J10" s="282"/>
      <c r="K10" s="282"/>
      <c r="L10" s="291" t="str">
        <f>'2. Application'!E18</f>
        <v>enter here</v>
      </c>
      <c r="M10" s="282"/>
      <c r="N10" s="282"/>
      <c r="O10" s="282"/>
      <c r="P10" s="282"/>
      <c r="Q10" s="282"/>
      <c r="R10" s="282"/>
      <c r="S10" s="282"/>
      <c r="T10" s="282"/>
      <c r="U10" s="282"/>
      <c r="V10" s="282"/>
      <c r="W10" s="282"/>
      <c r="X10" s="289"/>
      <c r="Y10" s="289"/>
      <c r="Z10" s="289"/>
      <c r="AA10" s="289"/>
      <c r="AB10" s="289"/>
      <c r="AC10" s="289"/>
      <c r="AD10" s="289"/>
      <c r="AE10" s="289"/>
      <c r="AF10" s="282"/>
      <c r="AG10" s="282"/>
      <c r="AH10" s="49"/>
      <c r="AI10" s="274"/>
    </row>
    <row r="11" spans="3:80">
      <c r="C11" s="273"/>
      <c r="D11" s="356"/>
      <c r="E11" s="282"/>
      <c r="F11" s="282"/>
      <c r="G11" s="282"/>
      <c r="H11" s="282"/>
      <c r="I11" s="282"/>
      <c r="J11" s="282"/>
      <c r="K11" s="282"/>
      <c r="L11" s="282"/>
      <c r="M11" s="282"/>
      <c r="N11" s="282"/>
      <c r="O11" s="282"/>
      <c r="P11" s="282"/>
      <c r="Q11" s="282"/>
      <c r="R11" s="282"/>
      <c r="S11" s="282"/>
      <c r="T11" s="282"/>
      <c r="U11" s="282"/>
      <c r="V11" s="282"/>
      <c r="W11" s="282"/>
      <c r="X11" s="289"/>
      <c r="Y11" s="289"/>
      <c r="Z11" s="289"/>
      <c r="AA11" s="289"/>
      <c r="AB11" s="289"/>
      <c r="AC11" s="289"/>
      <c r="AD11" s="289"/>
      <c r="AE11" s="289"/>
      <c r="AF11" s="282"/>
      <c r="AG11" s="282"/>
      <c r="AH11" s="49"/>
      <c r="AI11" s="274"/>
    </row>
    <row r="12" spans="3:80">
      <c r="C12" s="273"/>
      <c r="D12" s="281"/>
      <c r="E12" s="282"/>
      <c r="F12" s="282"/>
      <c r="G12" s="282"/>
      <c r="H12" s="282"/>
      <c r="I12" s="282"/>
      <c r="J12" s="290" t="s">
        <v>275</v>
      </c>
      <c r="K12"/>
      <c r="L12" s="291" t="str">
        <f>'2. Application'!E19</f>
        <v>enter here</v>
      </c>
      <c r="M12"/>
      <c r="N12"/>
      <c r="O12"/>
      <c r="P12"/>
      <c r="Q12"/>
      <c r="R12"/>
      <c r="S12"/>
      <c r="T12"/>
      <c r="U12"/>
      <c r="V12"/>
      <c r="W12"/>
      <c r="X12"/>
      <c r="Y12"/>
      <c r="Z12"/>
      <c r="AA12"/>
      <c r="AB12"/>
      <c r="AC12"/>
      <c r="AD12" s="282"/>
      <c r="AE12" s="282"/>
      <c r="AF12" s="282"/>
      <c r="AG12" s="282"/>
      <c r="AH12" s="49"/>
      <c r="AI12" s="274"/>
      <c r="AJ12" s="721" t="str">
        <f>IF(OR('2. Application'!E19="as above",'2. Application'!E19="as",'2. Application'!E19="above",'2. Application'!E19="refer",'2. Application'!E19="refer above"),"Check 3. Billing details information from 2. Application Tab.","")</f>
        <v/>
      </c>
      <c r="AK12" s="678"/>
      <c r="AL12" s="678"/>
      <c r="AM12" s="678"/>
      <c r="AN12" s="678"/>
      <c r="AO12" s="678"/>
      <c r="AP12" s="678"/>
      <c r="AQ12" s="678"/>
      <c r="AR12" s="678"/>
      <c r="AS12" s="678"/>
      <c r="AT12" s="678"/>
      <c r="AU12" s="678"/>
      <c r="AV12" s="678"/>
      <c r="AW12" s="678"/>
      <c r="AX12" s="678"/>
      <c r="AY12" s="678"/>
      <c r="AZ12" s="678"/>
      <c r="BA12" s="678"/>
      <c r="BB12" s="678"/>
      <c r="BC12" s="678"/>
      <c r="BD12" s="678"/>
      <c r="BE12" s="678"/>
      <c r="BF12" s="678"/>
      <c r="BG12" s="678"/>
      <c r="BH12" s="678"/>
      <c r="BI12" s="678"/>
      <c r="BJ12" s="678"/>
      <c r="BK12" s="678"/>
      <c r="BL12" s="678"/>
      <c r="BM12" s="678"/>
    </row>
    <row r="13" spans="3:80">
      <c r="C13" s="273"/>
      <c r="D13" s="281"/>
      <c r="E13" s="282"/>
      <c r="F13" s="282"/>
      <c r="G13" s="282"/>
      <c r="H13" s="282"/>
      <c r="I13" s="282"/>
      <c r="J13" s="290"/>
      <c r="K13"/>
      <c r="L13" s="291"/>
      <c r="M13"/>
      <c r="N13"/>
      <c r="O13"/>
      <c r="P13"/>
      <c r="Q13"/>
      <c r="R13"/>
      <c r="S13"/>
      <c r="T13"/>
      <c r="U13"/>
      <c r="V13"/>
      <c r="W13"/>
      <c r="X13"/>
      <c r="Y13"/>
      <c r="Z13"/>
      <c r="AA13"/>
      <c r="AB13"/>
      <c r="AC13"/>
      <c r="AD13" s="282"/>
      <c r="AE13" s="282"/>
      <c r="AF13" s="282"/>
      <c r="AG13" s="282"/>
      <c r="AH13" s="49"/>
      <c r="AI13" s="274"/>
    </row>
    <row r="14" spans="3:80">
      <c r="C14" s="273"/>
      <c r="D14" s="287"/>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8"/>
      <c r="AI14" s="274"/>
    </row>
    <row r="15" spans="3:80">
      <c r="C15" s="273"/>
      <c r="D15" s="284" t="s">
        <v>276</v>
      </c>
      <c r="E15" s="279"/>
      <c r="F15" s="279"/>
      <c r="G15" s="279"/>
      <c r="H15" s="591">
        <f>SUM(R25:T44)</f>
        <v>0</v>
      </c>
      <c r="I15" s="592"/>
      <c r="J15" s="592"/>
      <c r="K15" s="592"/>
      <c r="L15" s="292"/>
      <c r="M15" s="292"/>
      <c r="N15" s="292"/>
      <c r="O15" s="292"/>
      <c r="P15" s="292"/>
      <c r="Q15" s="292"/>
      <c r="R15" s="292"/>
      <c r="S15" s="292"/>
      <c r="T15" s="292"/>
      <c r="U15" s="292"/>
      <c r="V15" s="292"/>
      <c r="W15" s="292"/>
      <c r="X15" s="279"/>
      <c r="Y15" s="279"/>
      <c r="Z15" s="279"/>
      <c r="AA15" s="279"/>
      <c r="AB15" s="279"/>
      <c r="AC15" s="279"/>
      <c r="AD15" s="279"/>
      <c r="AE15" s="279"/>
      <c r="AF15" s="279"/>
      <c r="AG15" s="279"/>
      <c r="AH15" s="293" t="s">
        <v>277</v>
      </c>
      <c r="AI15" s="274"/>
      <c r="AO15" s="627" t="str">
        <f>IF(LEN("PRODUCT APPRAISAL: "&amp;'2. Application'!E17)&gt;61,
"The ACCOUNT TITLE (in Grange) character length to the left is originally set at "
&amp;LEN("PRODUCT APPRAISAL: "&amp;'2. Application'!E17)
&amp;" characters.  You need to amend this text to allow proper entry in Grange.  'PRODUCT APPRAISAL:' is to be kept in the account title.","")</f>
        <v/>
      </c>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8"/>
      <c r="BW15" s="628"/>
      <c r="BX15" s="628"/>
      <c r="BY15" s="628"/>
      <c r="BZ15" s="628"/>
      <c r="CA15" s="628"/>
      <c r="CB15" s="628"/>
    </row>
    <row r="16" spans="3:80">
      <c r="C16" s="273"/>
      <c r="D16" s="281"/>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49"/>
      <c r="AI16" s="274"/>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8"/>
      <c r="BW16" s="628"/>
      <c r="BX16" s="628"/>
      <c r="BY16" s="628"/>
      <c r="BZ16" s="628"/>
      <c r="CA16" s="628"/>
      <c r="CB16" s="628"/>
    </row>
    <row r="17" spans="3:80">
      <c r="C17" s="273"/>
      <c r="D17" s="294" t="s">
        <v>278</v>
      </c>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8"/>
      <c r="AI17" s="274"/>
    </row>
    <row r="18" spans="3:80">
      <c r="C18" s="273"/>
      <c r="D18" s="284" t="s">
        <v>279</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49"/>
      <c r="AI18" s="274"/>
      <c r="AO18" s="627" t="str">
        <f>IF(LEN("PRODUCT APPRAISAL: "&amp;'2. Application'!E17)
&gt;61,
"Without losing critical billing detail you now need to reduce the character length of this original text (refer left) to below 61 characters (spaces included).  Enter the amended ACCOUNT TITLE (in Grange) text below.","")</f>
        <v/>
      </c>
      <c r="AP18" s="628"/>
      <c r="AQ18" s="628"/>
      <c r="AR18" s="628"/>
      <c r="AS18" s="628"/>
      <c r="AT18" s="628"/>
      <c r="AU18" s="628"/>
      <c r="AV18" s="628"/>
      <c r="AW18" s="628"/>
      <c r="AX18" s="628"/>
      <c r="AY18" s="628"/>
      <c r="AZ18" s="628"/>
      <c r="BA18" s="628"/>
      <c r="BB18" s="628"/>
      <c r="BC18" s="628"/>
      <c r="BD18" s="628"/>
      <c r="BE18" s="628"/>
      <c r="BF18" s="628"/>
      <c r="BG18" s="628"/>
      <c r="BH18" s="628"/>
      <c r="BI18" s="628"/>
      <c r="BJ18" s="628"/>
      <c r="BK18" s="628"/>
      <c r="BL18" s="628"/>
      <c r="BM18" s="628"/>
      <c r="BN18" s="628"/>
      <c r="BO18" s="628"/>
      <c r="BP18" s="628"/>
      <c r="BQ18" s="628"/>
      <c r="BR18" s="628"/>
      <c r="BS18" s="628"/>
      <c r="BT18" s="628"/>
      <c r="BU18" s="628"/>
      <c r="BV18" s="628"/>
      <c r="BW18" s="628"/>
      <c r="BX18" s="628"/>
      <c r="BY18" s="628"/>
      <c r="BZ18" s="628"/>
      <c r="CA18" s="628"/>
      <c r="CB18" s="628"/>
    </row>
    <row r="19" spans="3:80">
      <c r="C19" s="273"/>
      <c r="D19" s="281"/>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49"/>
      <c r="AI19" s="274"/>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628"/>
      <c r="BT19" s="628"/>
      <c r="BU19" s="628"/>
      <c r="BV19" s="628"/>
      <c r="BW19" s="628"/>
      <c r="BX19" s="628"/>
      <c r="BY19" s="628"/>
      <c r="BZ19" s="628"/>
      <c r="CA19" s="628"/>
      <c r="CB19" s="628"/>
    </row>
    <row r="20" spans="3:80">
      <c r="C20" s="273"/>
      <c r="D20" s="295" t="s">
        <v>280</v>
      </c>
      <c r="E20" s="282"/>
      <c r="F20" s="282"/>
      <c r="G20" s="282"/>
      <c r="H20" s="355"/>
      <c r="I20" s="355"/>
      <c r="J20" s="355"/>
      <c r="K20" s="624" t="str">
        <f>'3. Registration'!U5</f>
        <v>&lt; SELECT HERE! &gt;</v>
      </c>
      <c r="L20" s="678"/>
      <c r="M20" s="678"/>
      <c r="N20" s="678"/>
      <c r="O20" s="678"/>
      <c r="P20" s="678"/>
      <c r="Q20" s="678"/>
      <c r="R20" s="678"/>
      <c r="S20" s="678"/>
      <c r="T20" s="678"/>
      <c r="U20" s="678"/>
      <c r="V20" s="678"/>
      <c r="W20" s="678"/>
      <c r="X20" s="678"/>
      <c r="Y20" s="678"/>
      <c r="Z20" s="678"/>
      <c r="AA20" s="678"/>
      <c r="AB20" s="678"/>
      <c r="AC20" s="678"/>
      <c r="AD20" s="678"/>
      <c r="AE20" s="678"/>
      <c r="AF20" s="678"/>
      <c r="AG20" s="678"/>
      <c r="AH20" s="297"/>
      <c r="AI20" s="274"/>
    </row>
    <row r="21" spans="3:80">
      <c r="C21" s="273"/>
      <c r="D21" s="356" t="s">
        <v>281</v>
      </c>
      <c r="E21" s="282"/>
      <c r="F21" s="282"/>
      <c r="G21" s="282"/>
      <c r="H21" s="282"/>
      <c r="I21" s="282"/>
      <c r="J21" s="282"/>
      <c r="K21" s="624" t="str">
        <f>IF('3. Registration'!U5="Review of expired only product/s with no change since previous approval",'5. Review'!G576,'5. Review'!G267)</f>
        <v>&lt; enter newly issued approval number AN-??? Number here  &gt;</v>
      </c>
      <c r="L21" s="489"/>
      <c r="M21" s="489"/>
      <c r="N21" s="489"/>
      <c r="O21" s="489"/>
      <c r="P21" s="354"/>
      <c r="Q21" s="624" t="str">
        <f>IF('3. Registration'!D39="&lt; Add AQUA document name here that was generated from the Product Appraisal KPI sheet (refer image on right) &gt;","&lt; ENTER AQUA FILE NUMBER HERE &gt;",IF(OR(LEFT('3. Registration'!D39,2)="CC",LEFT('3. Registration'!D39,2)="JT"),LEFT('3. Registration'!D39,18),'3. Registration'!D39))</f>
        <v/>
      </c>
      <c r="R21" s="410"/>
      <c r="S21" s="410"/>
      <c r="T21" s="410"/>
      <c r="U21" s="410"/>
      <c r="V21" s="410"/>
      <c r="W21" s="410"/>
      <c r="X21" s="410"/>
      <c r="Y21" s="410"/>
      <c r="Z21" s="410"/>
      <c r="AA21" s="410"/>
      <c r="AB21" s="410"/>
      <c r="AC21" s="410"/>
      <c r="AD21" s="410"/>
      <c r="AE21" s="410"/>
      <c r="AF21" s="410"/>
      <c r="AG21" s="410"/>
      <c r="AH21" s="297"/>
      <c r="AI21" s="274"/>
      <c r="AO21" s="631" t="str">
        <f>IF(LEN("PRODUCT APPRAISAL: "&amp;'2. Application'!E17)&gt;61,
    "PRODUCT APPRAISAL: "&amp;'2. Application'!E17,
    "")</f>
        <v/>
      </c>
      <c r="AP21" s="632"/>
      <c r="AQ21" s="632"/>
      <c r="AR21" s="632"/>
      <c r="AS21" s="632"/>
      <c r="AT21" s="632"/>
      <c r="AU21" s="632"/>
      <c r="AV21" s="632"/>
      <c r="AW21" s="632"/>
      <c r="AX21" s="632"/>
      <c r="AY21" s="632"/>
      <c r="AZ21" s="632"/>
      <c r="BA21" s="632"/>
      <c r="BB21" s="632"/>
      <c r="BC21" s="632"/>
      <c r="BD21" s="632"/>
      <c r="BE21" s="632"/>
      <c r="BF21" s="632"/>
      <c r="BG21" s="632"/>
      <c r="BH21" s="632"/>
      <c r="BI21" s="632"/>
      <c r="BJ21" s="632"/>
      <c r="BK21" s="632"/>
      <c r="BL21" s="632"/>
      <c r="BM21" s="632"/>
      <c r="BN21" s="632"/>
      <c r="BO21" s="632"/>
      <c r="BP21" s="632"/>
      <c r="BQ21" s="632"/>
      <c r="BR21" s="632"/>
      <c r="BS21" s="632"/>
      <c r="BT21" s="632"/>
      <c r="BU21" s="632"/>
      <c r="BV21" s="632"/>
      <c r="BW21" s="632"/>
      <c r="BX21" s="632"/>
      <c r="BY21" s="632"/>
      <c r="BZ21" s="632"/>
      <c r="CA21" s="632"/>
      <c r="CB21" s="632"/>
    </row>
    <row r="22" spans="3:80">
      <c r="C22" s="273"/>
      <c r="D22" s="295"/>
      <c r="E22" s="282"/>
      <c r="F22" s="282"/>
      <c r="G22" s="282"/>
      <c r="H22" s="298"/>
      <c r="I22" s="298"/>
      <c r="J22" s="298"/>
      <c r="K22" s="298"/>
      <c r="L22" s="298"/>
      <c r="M22" s="298"/>
      <c r="N22" s="73"/>
      <c r="O22" s="73"/>
      <c r="P22" s="73"/>
      <c r="Q22" s="73"/>
      <c r="R22" s="299"/>
      <c r="S22" s="298"/>
      <c r="T22" s="73"/>
      <c r="U22" s="73"/>
      <c r="V22" s="73"/>
      <c r="W22" s="73"/>
      <c r="X22" s="73"/>
      <c r="Y22" s="73"/>
      <c r="Z22" s="73"/>
      <c r="AA22" s="73"/>
      <c r="AB22" s="73"/>
      <c r="AC22" s="73"/>
      <c r="AD22" s="73"/>
      <c r="AE22" s="299"/>
      <c r="AF22" s="296"/>
      <c r="AG22" s="296"/>
      <c r="AH22" s="297"/>
      <c r="AI22" s="274"/>
      <c r="AO22" s="632"/>
      <c r="AP22" s="632"/>
      <c r="AQ22" s="632"/>
      <c r="AR22" s="632"/>
      <c r="AS22" s="632"/>
      <c r="AT22" s="632"/>
      <c r="AU22" s="632"/>
      <c r="AV22" s="632"/>
      <c r="AW22" s="632"/>
      <c r="AX22" s="632"/>
      <c r="AY22" s="632"/>
      <c r="AZ22" s="632"/>
      <c r="BA22" s="632"/>
      <c r="BB22" s="632"/>
      <c r="BC22" s="632"/>
      <c r="BD22" s="632"/>
      <c r="BE22" s="632"/>
      <c r="BF22" s="632"/>
      <c r="BG22" s="632"/>
      <c r="BH22" s="632"/>
      <c r="BI22" s="632"/>
      <c r="BJ22" s="632"/>
      <c r="BK22" s="632"/>
      <c r="BL22" s="632"/>
      <c r="BM22" s="632"/>
      <c r="BN22" s="632"/>
      <c r="BO22" s="632"/>
      <c r="BP22" s="632"/>
      <c r="BQ22" s="632"/>
      <c r="BR22" s="632"/>
      <c r="BS22" s="632"/>
      <c r="BT22" s="632"/>
      <c r="BU22" s="632"/>
      <c r="BV22" s="632"/>
      <c r="BW22" s="632"/>
      <c r="BX22" s="632"/>
      <c r="BY22" s="632"/>
      <c r="BZ22" s="632"/>
      <c r="CA22" s="632"/>
      <c r="CB22" s="632"/>
    </row>
    <row r="23" spans="3:80">
      <c r="C23" s="273"/>
      <c r="D23" s="281"/>
      <c r="E23" s="282"/>
      <c r="F23"/>
      <c r="G23"/>
      <c r="H23"/>
      <c r="I23"/>
      <c r="J23"/>
      <c r="K23"/>
      <c r="L23"/>
      <c r="M23"/>
      <c r="N23"/>
      <c r="O23"/>
      <c r="P23"/>
      <c r="Q23"/>
      <c r="R23" s="282"/>
      <c r="S23" s="282"/>
      <c r="T23" s="282"/>
      <c r="U23" s="282"/>
      <c r="V23" s="282"/>
      <c r="W23" s="282"/>
      <c r="X23" s="282"/>
      <c r="Y23" s="282"/>
      <c r="Z23" s="282"/>
      <c r="AA23" s="587" t="s">
        <v>282</v>
      </c>
      <c r="AB23" s="587"/>
      <c r="AC23" s="588"/>
      <c r="AD23" s="588"/>
      <c r="AE23" s="588"/>
      <c r="AF23" s="588"/>
      <c r="AG23" s="588"/>
      <c r="AH23" s="49"/>
      <c r="AI23" s="274"/>
    </row>
    <row r="24" spans="3:80" ht="16.149999999999999" thickBot="1">
      <c r="C24" s="273"/>
      <c r="D24" s="281"/>
      <c r="E24"/>
      <c r="F24"/>
      <c r="G24"/>
      <c r="H24" s="282"/>
      <c r="I24" s="282"/>
      <c r="J24" s="282"/>
      <c r="K24" s="282"/>
      <c r="L24" s="282"/>
      <c r="M24" s="282"/>
      <c r="N24" s="282"/>
      <c r="O24" s="282"/>
      <c r="P24" s="282"/>
      <c r="Q24" s="282"/>
      <c r="R24" s="282"/>
      <c r="S24" s="282"/>
      <c r="T24" s="282"/>
      <c r="U24" s="282"/>
      <c r="V24" s="282"/>
      <c r="W24" s="282"/>
      <c r="X24" s="282"/>
      <c r="Y24" s="282"/>
      <c r="Z24" s="282"/>
      <c r="AA24" s="589" t="s">
        <v>283</v>
      </c>
      <c r="AB24" s="589"/>
      <c r="AC24" s="590"/>
      <c r="AD24" s="590"/>
      <c r="AE24" s="589" t="s">
        <v>284</v>
      </c>
      <c r="AF24" s="590"/>
      <c r="AG24" s="590"/>
      <c r="AH24" s="49"/>
      <c r="AI24" s="274"/>
      <c r="AJ24" s="306" t="s">
        <v>285</v>
      </c>
      <c r="AK24" s="275"/>
      <c r="AL24" s="309" t="s">
        <v>286</v>
      </c>
      <c r="AO24" s="629" t="str">
        <f>IF(LEN("PRODUCT APPRAISAL: "&amp;'2. Application'!E17)&gt;61,
    IF(LEN(AO21)&gt;61,
        "Keep amending, as the new character length above (with spaces) is still &gt;= 61.  Current count is "&amp;LEN(AO21)&amp;".  If required, 'PRODCUT APPRAISAL' above can be changed to 'PROD APP'.",
        "No need for any further adjustment, but please check again for clarity and spelling first!"),
    "")</f>
        <v/>
      </c>
      <c r="AP24" s="630"/>
      <c r="AQ24" s="630"/>
      <c r="AR24" s="630"/>
      <c r="AS24" s="630"/>
      <c r="AT24" s="630"/>
      <c r="AU24" s="630"/>
      <c r="AV24" s="630"/>
      <c r="AW24" s="630"/>
      <c r="AX24" s="630"/>
      <c r="AY24" s="630"/>
      <c r="AZ24" s="630"/>
      <c r="BA24" s="630"/>
      <c r="BB24" s="630"/>
      <c r="BC24" s="630"/>
      <c r="BD24" s="630"/>
      <c r="BE24" s="630"/>
      <c r="BF24" s="630"/>
      <c r="BG24" s="630"/>
      <c r="BH24" s="630"/>
      <c r="BI24" s="630"/>
      <c r="BJ24" s="630"/>
      <c r="BK24" s="630"/>
      <c r="BL24" s="630"/>
      <c r="BM24" s="630"/>
      <c r="BN24" s="630"/>
      <c r="BO24" s="630"/>
      <c r="BP24" s="630"/>
      <c r="BQ24" s="630"/>
      <c r="BR24" s="630"/>
      <c r="BS24" s="630"/>
      <c r="BT24" s="630"/>
      <c r="BU24" s="630"/>
      <c r="BV24" s="630"/>
      <c r="BW24" s="630"/>
      <c r="BX24" s="630"/>
      <c r="BY24" s="630"/>
      <c r="BZ24" s="630"/>
      <c r="CA24" s="630"/>
      <c r="CB24" s="630"/>
    </row>
    <row r="25" spans="3:80" ht="15.75" customHeight="1" thickTop="1">
      <c r="C25" s="273"/>
      <c r="D25" s="281"/>
      <c r="E25" s="593" t="str">
        <f>IF(K20="&lt; Select here! &gt;","",IF(OR(K20='(admin) Drop Down Variables'!D12,K20='(admin) Drop Down Variables'!D13,K20='(admin) Drop Down Variables'!D14),"Expiry Notification (see *note below):",""))</f>
        <v/>
      </c>
      <c r="F25" s="594"/>
      <c r="G25" s="594"/>
      <c r="H25" s="594"/>
      <c r="I25" s="594"/>
      <c r="J25" s="594"/>
      <c r="K25" s="594"/>
      <c r="L25" s="594"/>
      <c r="M25" s="594"/>
      <c r="N25" s="594"/>
      <c r="O25" s="594"/>
      <c r="P25" s="594"/>
      <c r="Q25" s="594"/>
      <c r="R25" s="595" t="str">
        <f>IF(E25="","",AL25)</f>
        <v/>
      </c>
      <c r="S25" s="596"/>
      <c r="T25" s="596"/>
      <c r="U25" s="597" t="str">
        <f>IF(E25="","",IF(AA25&gt;AJ25,"Cross check KPI entry!",IF(AA25&lt;AJ25,"Cross check e-form entry!","")))</f>
        <v/>
      </c>
      <c r="V25" s="597"/>
      <c r="W25" s="597"/>
      <c r="X25" s="597"/>
      <c r="Y25" s="597"/>
      <c r="Z25" s="597"/>
      <c r="AA25" s="598" t="str">
        <f>IF(E25="","","&lt; enter here &gt;")</f>
        <v/>
      </c>
      <c r="AB25" s="598"/>
      <c r="AC25" s="599"/>
      <c r="AD25" s="599"/>
      <c r="AE25" s="600" t="str">
        <f>IF(E25="","",AA25/60)</f>
        <v/>
      </c>
      <c r="AF25" s="601"/>
      <c r="AG25" s="601"/>
      <c r="AH25" s="49"/>
      <c r="AI25" s="274"/>
      <c r="AJ25" s="307"/>
      <c r="AK25" s="276"/>
      <c r="AL25" s="310"/>
      <c r="AO25" s="630"/>
      <c r="AP25" s="630"/>
      <c r="AQ25" s="630"/>
      <c r="AR25" s="630"/>
      <c r="AS25" s="630"/>
      <c r="AT25" s="630"/>
      <c r="AU25" s="630"/>
      <c r="AV25" s="630"/>
      <c r="AW25" s="630"/>
      <c r="AX25" s="630"/>
      <c r="AY25" s="630"/>
      <c r="AZ25" s="630"/>
      <c r="BA25" s="630"/>
      <c r="BB25" s="630"/>
      <c r="BC25" s="630"/>
      <c r="BD25" s="630"/>
      <c r="BE25" s="630"/>
      <c r="BF25" s="630"/>
      <c r="BG25" s="630"/>
      <c r="BH25" s="630"/>
      <c r="BI25" s="630"/>
      <c r="BJ25" s="630"/>
      <c r="BK25" s="630"/>
      <c r="BL25" s="630"/>
      <c r="BM25" s="630"/>
      <c r="BN25" s="630"/>
      <c r="BO25" s="630"/>
      <c r="BP25" s="630"/>
      <c r="BQ25" s="630"/>
      <c r="BR25" s="630"/>
      <c r="BS25" s="630"/>
      <c r="BT25" s="630"/>
      <c r="BU25" s="630"/>
      <c r="BV25" s="630"/>
      <c r="BW25" s="630"/>
      <c r="BX25" s="630"/>
      <c r="BY25" s="630"/>
      <c r="BZ25" s="630"/>
      <c r="CA25" s="630"/>
      <c r="CB25" s="630"/>
    </row>
    <row r="26" spans="3:80" ht="15.75" customHeight="1">
      <c r="C26" s="273"/>
      <c r="D26" s="281"/>
      <c r="E26" s="602" t="s">
        <v>287</v>
      </c>
      <c r="F26" s="602"/>
      <c r="G26" s="602"/>
      <c r="H26" s="602"/>
      <c r="I26" s="602"/>
      <c r="J26" s="602"/>
      <c r="K26" s="602"/>
      <c r="L26" s="602"/>
      <c r="M26" s="602"/>
      <c r="N26" s="602"/>
      <c r="O26" s="602"/>
      <c r="P26" s="602"/>
      <c r="Q26" s="602"/>
      <c r="R26" s="603">
        <f>AL26</f>
        <v>0</v>
      </c>
      <c r="S26" s="604"/>
      <c r="T26" s="604"/>
      <c r="U26" s="605" t="str">
        <f>IF(OR(AA26="remove text!",AA26="no time?"),"E-form incomplete!",IF(E26="","",IF(AA26&gt;AJ26,"Cross check KPI entry!",IF(AA26&lt;AJ26,"Cross check e-form entry!",""))))</f>
        <v>E-form incomplete!</v>
      </c>
      <c r="V26" s="606"/>
      <c r="W26" s="606"/>
      <c r="X26" s="606"/>
      <c r="Y26" s="606"/>
      <c r="Z26" s="606"/>
      <c r="AA26" s="607" t="str">
        <f>IF(AND('3. Registration'!U5='(admin) Drop Down Variables'!D11,AND(AND('3. Registration'!AB11&lt;&gt;"&lt; enter time taken &gt;",'3. Registration'!AB11&lt;&gt;""),AND('3. Registration'!AB15&lt;&gt;"&lt; enter time taken &gt;",'3. Registration'!AB15&lt;&gt;""),AND('3. Registration'!AB18&lt;&gt;"&lt; enter time taken &gt;",'3. Registration'!AB18&lt;&gt;""),AND('3. Registration'!AB21&lt;&gt;"&lt; enter time taken &gt;",'3. Registration'!AB21&lt;&gt;""),AND('3. Registration'!AB25&lt;&gt;"&lt; enter time taken &gt;",'3. Registration'!AB25&lt;&gt;""),AND('3. Registration'!AB29&lt;&gt;"&lt; enter time taken &gt;",'3. Registration'!AB29&lt;&gt;""))),SUM('3. Registration'!AB11,'3. Registration'!AB15,'3. Registration'!AB18,'3. Registration'!AB21,'3. Registration'!AB25,'3. Registration'!AB29),IF(AND('3. Registration'!U5='(admin) Drop Down Variables'!D13,AND(AND('3. Registration'!AB11&lt;&gt;"&lt; enter time taken &gt;",'3. Registration'!AB11&lt;&gt;""),AND('3. Registration'!AB15&lt;&gt;"&lt; enter time taken &gt;",'3. Registration'!AB15&lt;&gt;""),AND('3. Registration'!AB18&lt;&gt;"&lt; enter time taken &gt;",'3. Registration'!AB18&lt;&gt;""),AND('3. Registration'!AB21&lt;&gt;"&lt; enter time taken &gt;",'3. Registration'!AB21&lt;&gt;""))),SUM('3. Registration'!AB11,'3. Registration'!AB15,'3. Registration'!AB18,'3. Registration'!AB21),IF(AND(OR('3. Registration'!U5='(admin) Drop Down Variables'!D12,'3. Registration'!U5='(admin) Drop Down Variables'!D14,'3. Registration'!U5='(admin) Drop Down Variables'!D15),AND(AND('3. Registration'!AB11&lt;&gt;"&lt; enter time taken &gt;",'3. Registration'!AB11&lt;&gt;""),AND('3. Registration'!AB15&lt;&gt;"&lt; enter time taken &gt;",'3. Registration'!AB15&lt;&gt;""),AND('3. Registration'!AB18&lt;&gt;"&lt; enter time taken &gt;",'3. Registration'!AB18&lt;&gt;""))),SUM('3. Registration'!AB11,'3. Registration'!AB15,'3. Registration'!AB18),"no time?")))</f>
        <v>no time?</v>
      </c>
      <c r="AB26" s="607"/>
      <c r="AC26" s="608"/>
      <c r="AD26" s="608"/>
      <c r="AE26" s="609" t="e">
        <f t="shared" ref="AE26:AE44" si="0">AA26/60</f>
        <v>#VALUE!</v>
      </c>
      <c r="AF26" s="608"/>
      <c r="AG26" s="608"/>
      <c r="AH26" s="49"/>
      <c r="AI26" s="274"/>
      <c r="AJ26" s="307"/>
      <c r="AK26" s="276"/>
      <c r="AL26" s="310"/>
    </row>
    <row r="27" spans="3:80" ht="15.75" customHeight="1">
      <c r="C27" s="273"/>
      <c r="D27" s="281"/>
      <c r="E27" s="610" t="s">
        <v>288</v>
      </c>
      <c r="F27" s="611"/>
      <c r="G27" s="611"/>
      <c r="H27" s="611"/>
      <c r="I27" s="611"/>
      <c r="J27" s="611"/>
      <c r="K27" s="611"/>
      <c r="L27" s="611"/>
      <c r="M27" s="611"/>
      <c r="N27" s="611"/>
      <c r="O27" s="611"/>
      <c r="P27" s="611"/>
      <c r="Q27" s="611"/>
      <c r="R27" s="595">
        <f>AL27</f>
        <v>0</v>
      </c>
      <c r="S27" s="595"/>
      <c r="T27" s="595"/>
      <c r="U27" s="597" t="str">
        <f>IF(OR(AA27="remove text!",AA27="no time?"),"E-form incomplete!",IF(E27="","",IF(AA27&gt;AJ27,"Cross check KPI entry!",IF(AA27&lt;AJ27,"Cross check e-form entry!",""))))</f>
        <v>E-form incomplete!</v>
      </c>
      <c r="V27" s="597"/>
      <c r="W27" s="597"/>
      <c r="X27" s="597"/>
      <c r="Y27" s="597"/>
      <c r="Z27" s="597"/>
      <c r="AA27" s="612" t="str">
        <f>IF(OR(OR('4. Panel Member Index'!P5="&lt; enter time taken &gt;",'4. Panel Member Index'!P5=""),OR(OR('5. Review'!G25="&lt; enter time taken &gt;",'5. Review'!G25=""),OR('5. Review'!G375="&lt; enter time taken &gt;",'5. Review'!G375=""))),"no time?",IF(AND(ISNUMBER('4. Panel Member Index'!P5),ISNUMBER('5. Review'!G25),ISNUMBER('5. Review'!G375)),SUM('4. Panel Member Index'!P5,'5. Review'!G25,'5. Review'!G375),"remove text!"))</f>
        <v>no time?</v>
      </c>
      <c r="AB27" s="612"/>
      <c r="AC27" s="601"/>
      <c r="AD27" s="601"/>
      <c r="AE27" s="600" t="e">
        <f t="shared" si="0"/>
        <v>#VALUE!</v>
      </c>
      <c r="AF27" s="601"/>
      <c r="AG27" s="601"/>
      <c r="AH27" s="49"/>
      <c r="AI27" s="274"/>
      <c r="AJ27" s="307"/>
      <c r="AK27" s="276"/>
      <c r="AL27" s="310"/>
    </row>
    <row r="28" spans="3:80" ht="15.75" customHeight="1">
      <c r="C28" s="273"/>
      <c r="D28" s="281"/>
      <c r="E28" s="602" t="s">
        <v>289</v>
      </c>
      <c r="F28" s="613"/>
      <c r="G28" s="613"/>
      <c r="H28" s="613"/>
      <c r="I28" s="613"/>
      <c r="J28" s="613"/>
      <c r="K28" s="722"/>
      <c r="L28" s="614" t="str">
        <f>'4. Panel Member Index'!E14&amp;":"</f>
        <v>&lt;add relevant review person here&gt;:</v>
      </c>
      <c r="M28" s="614"/>
      <c r="N28" s="614"/>
      <c r="O28" s="614"/>
      <c r="P28" s="614"/>
      <c r="Q28" s="614"/>
      <c r="R28" s="603">
        <f t="shared" ref="R28:R44" si="1">AL28</f>
        <v>0</v>
      </c>
      <c r="S28" s="604"/>
      <c r="T28" s="604"/>
      <c r="U28" s="605" t="str">
        <f>IF(OR(AA28="remove text!",AA28="no time?"),"E-form incomplete!",IF(E28="","",IF(AA28&gt;AJ28,"Cross check KPI entry!",IF(AA28&lt;AJ28,"Cross check e-form entry!",""))))</f>
        <v>Cross check KPI entry!</v>
      </c>
      <c r="V28" s="606"/>
      <c r="W28" s="606"/>
      <c r="X28" s="606"/>
      <c r="Y28" s="606"/>
      <c r="Z28" s="606"/>
      <c r="AA28" s="607" t="str">
        <f>IF(OR('4. Panel Member Index'!E14="&lt;add relevant review person here&gt;",'4. Panel Member Index'!E14=""),"N/A",IF(AND('5. Review'!H34="",'5. Review'!H384=""),"no time?",IF(OR(ISNUMBER('5. Review'!H34),ISNUMBER('5. Review'!H384)),SUM('5. Review'!H34,'5. Review'!H384),"remove text!")))</f>
        <v>N/A</v>
      </c>
      <c r="AB28" s="607"/>
      <c r="AC28" s="608"/>
      <c r="AD28" s="608"/>
      <c r="AE28" s="609" t="e">
        <f t="shared" si="0"/>
        <v>#VALUE!</v>
      </c>
      <c r="AF28" s="608"/>
      <c r="AG28" s="608"/>
      <c r="AH28" s="49"/>
      <c r="AI28" s="274"/>
      <c r="AJ28" s="307"/>
      <c r="AK28" s="276"/>
      <c r="AL28" s="310"/>
    </row>
    <row r="29" spans="3:80" ht="15.75" customHeight="1">
      <c r="C29" s="273"/>
      <c r="D29" s="281"/>
      <c r="E29" s="610" t="s">
        <v>289</v>
      </c>
      <c r="F29" s="611"/>
      <c r="G29" s="611"/>
      <c r="H29" s="611"/>
      <c r="I29" s="611"/>
      <c r="J29" s="611"/>
      <c r="K29" s="723"/>
      <c r="L29" s="615" t="str">
        <f>IF('3. Registration'!U5='(admin) Drop Down Variables'!D12,
    "(not used)",
    '4. Panel Member Index'!E15&amp;":")</f>
        <v>&lt;add relevant review person here&gt;:</v>
      </c>
      <c r="M29" s="615"/>
      <c r="N29" s="615"/>
      <c r="O29" s="615"/>
      <c r="P29" s="615"/>
      <c r="Q29" s="615"/>
      <c r="R29" s="595">
        <f t="shared" si="1"/>
        <v>0</v>
      </c>
      <c r="S29" s="595"/>
      <c r="T29" s="595"/>
      <c r="U29" s="597" t="str">
        <f>IF('3. Registration'!U5='(admin) Drop Down Variables'!D12,
    "",
    IF(OR(AA29="remove text!",AA29="no time?"),
        "E-form incomplete!",
        IF(E29="",
            "",
            IF(AA29&gt;AJ29,
                "Cross check KPI entry!",
                IF(AA29&lt;AJ29,
                    "Cross check e-form entry!",
                    "")))))</f>
        <v>Cross check KPI entry!</v>
      </c>
      <c r="V29" s="597"/>
      <c r="W29" s="597"/>
      <c r="X29" s="597"/>
      <c r="Y29" s="597"/>
      <c r="Z29" s="597"/>
      <c r="AA29" s="612" t="str">
        <f>IF('3. Registration'!U5='(admin) Drop Down Variables'!D12,
    "N/A",
    IF(OR('4. Panel Member Index'!E15="&lt;add relevant review person here&gt;",'4. Panel Member Index'!E15=""),
        "N/A",
        IF('5. Review'!H43="",
            "no time?",
            IF(ISNUMBER('5. Review'!H43),
                SUM('5. Review'!H43),
                "remove text!"))))</f>
        <v>N/A</v>
      </c>
      <c r="AB29" s="612"/>
      <c r="AC29" s="601"/>
      <c r="AD29" s="601"/>
      <c r="AE29" s="600" t="str">
        <f t="shared" ref="AE29:AE30" si="2">IF(AA29="N/A","N/A",AA29/60)</f>
        <v>N/A</v>
      </c>
      <c r="AF29" s="601"/>
      <c r="AG29" s="601"/>
      <c r="AH29" s="49"/>
      <c r="AI29" s="274"/>
      <c r="AJ29" s="307"/>
      <c r="AK29" s="276"/>
      <c r="AL29" s="310"/>
    </row>
    <row r="30" spans="3:80" ht="15.75" customHeight="1">
      <c r="C30" s="273"/>
      <c r="D30" s="281"/>
      <c r="E30" s="602" t="s">
        <v>289</v>
      </c>
      <c r="F30" s="613"/>
      <c r="G30" s="613"/>
      <c r="H30" s="613"/>
      <c r="I30" s="613"/>
      <c r="J30" s="613"/>
      <c r="K30" s="722"/>
      <c r="L30" s="614" t="str">
        <f>IF('3. Registration'!U5='(admin) Drop Down Variables'!D12,
    "(not used)",
    '4. Panel Member Index'!E16&amp;":")</f>
        <v>&lt;add relevant review person here&gt;:</v>
      </c>
      <c r="M30" s="614"/>
      <c r="N30" s="614"/>
      <c r="O30" s="614"/>
      <c r="P30" s="614"/>
      <c r="Q30" s="614"/>
      <c r="R30" s="603">
        <f t="shared" si="1"/>
        <v>0</v>
      </c>
      <c r="S30" s="604"/>
      <c r="T30" s="604"/>
      <c r="U30" s="605" t="str">
        <f>IF('3. Registration'!U5='(admin) Drop Down Variables'!D12,
    "",
    IF(OR(AA30="remove text!",AA30="no time?"),
        "E-form incomplete!",
        IF(E30="",
            "",
            IF(AA30&gt;AJ30,
                "Cross check KPI entry!",
                IF(AA30&lt;AJ30,
                    "Cross check e-form entry!",
                    "")))))</f>
        <v>Cross check KPI entry!</v>
      </c>
      <c r="V30" s="605"/>
      <c r="W30" s="605"/>
      <c r="X30" s="605"/>
      <c r="Y30" s="605"/>
      <c r="Z30" s="605"/>
      <c r="AA30" s="607" t="str">
        <f>IF('3. Registration'!U5='(admin) Drop Down Variables'!D12,
    "N/A",
    IF(OR('4. Panel Member Index'!E16="&lt;add relevant review person here&gt;",'4. Panel Member Index'!E16=""),
        "N/A",
        IF('5. Review'!H52="",
            "no time?",
            IF(ISNUMBER('5. Review'!H52),
                SUM('5. Review'!H52),
                "remove text!"))))</f>
        <v>N/A</v>
      </c>
      <c r="AB30" s="607"/>
      <c r="AC30" s="608"/>
      <c r="AD30" s="608"/>
      <c r="AE30" s="609" t="str">
        <f t="shared" si="2"/>
        <v>N/A</v>
      </c>
      <c r="AF30" s="608"/>
      <c r="AG30" s="608"/>
      <c r="AH30" s="49"/>
      <c r="AI30" s="274"/>
      <c r="AJ30" s="307"/>
      <c r="AK30" s="276"/>
      <c r="AL30" s="310"/>
    </row>
    <row r="31" spans="3:80" ht="15.75" customHeight="1">
      <c r="C31" s="273"/>
      <c r="D31" s="281"/>
      <c r="E31" s="610" t="s">
        <v>289</v>
      </c>
      <c r="F31" s="611"/>
      <c r="G31" s="611"/>
      <c r="H31" s="611"/>
      <c r="I31" s="611"/>
      <c r="J31" s="611"/>
      <c r="K31" s="723"/>
      <c r="L31" s="615" t="str">
        <f>IF(OR('4. Panel Member Index'!E17="",'4. Panel Member Index'!E17="&lt;add relevant review person here&gt;"),"(not used)",'4. Panel Member Index'!E17&amp;":")</f>
        <v>(not used)</v>
      </c>
      <c r="M31" s="615"/>
      <c r="N31" s="615"/>
      <c r="O31" s="615"/>
      <c r="P31" s="615"/>
      <c r="Q31" s="615"/>
      <c r="R31" s="595">
        <f t="shared" si="1"/>
        <v>0</v>
      </c>
      <c r="S31" s="595"/>
      <c r="T31" s="595"/>
      <c r="U31" s="597" t="str">
        <f>IF(AA31="N/A",
    "",
    IF(OR(AA31="remove text!",AA31="no time?"),
        "E-form incomplete!",
        IF(E31="",
            "",
            IF(AA31&gt;AJ31,
                "Cross check KPI entry!",
                IF(AA31&lt;AJ31,
                    "Cross check e-form entry!",
                    "")))))</f>
        <v/>
      </c>
      <c r="V31" s="597"/>
      <c r="W31" s="597"/>
      <c r="X31" s="597"/>
      <c r="Y31" s="597"/>
      <c r="Z31" s="597"/>
      <c r="AA31" s="612" t="str">
        <f>IF(OR('4. Panel Member Index'!E17="&lt;add relevant review person here&gt;",'4. Panel Member Index'!E17=""),"N/A",IF('5. Review'!H61="","no time?",IF(ISNUMBER('5. Review'!H61),'5. Review'!H61,"remove text!")))</f>
        <v>N/A</v>
      </c>
      <c r="AB31" s="612"/>
      <c r="AC31" s="601"/>
      <c r="AD31" s="601"/>
      <c r="AE31" s="600" t="str">
        <f>IF(AA31="N/A","N/A",AA31/60)</f>
        <v>N/A</v>
      </c>
      <c r="AF31" s="601"/>
      <c r="AG31" s="601"/>
      <c r="AH31" s="49"/>
      <c r="AI31" s="274"/>
      <c r="AJ31" s="307"/>
      <c r="AK31" s="276"/>
      <c r="AL31" s="310"/>
    </row>
    <row r="32" spans="3:80" ht="15.75" customHeight="1">
      <c r="C32" s="273"/>
      <c r="D32" s="281"/>
      <c r="E32" s="602" t="s">
        <v>289</v>
      </c>
      <c r="F32" s="613"/>
      <c r="G32" s="613"/>
      <c r="H32" s="613"/>
      <c r="I32" s="613"/>
      <c r="J32" s="613"/>
      <c r="K32" s="722"/>
      <c r="L32" s="614" t="str">
        <f>IF(OR('4. Panel Member Index'!E18="",'4. Panel Member Index'!E18="&lt;add relevant review person here&gt;"),"(not used)",'4. Panel Member Index'!E18&amp;":")</f>
        <v>(not used)</v>
      </c>
      <c r="M32" s="614"/>
      <c r="N32" s="614"/>
      <c r="O32" s="614"/>
      <c r="P32" s="614"/>
      <c r="Q32" s="614"/>
      <c r="R32" s="603">
        <f t="shared" si="1"/>
        <v>0</v>
      </c>
      <c r="S32" s="604"/>
      <c r="T32" s="604"/>
      <c r="U32" s="605" t="str">
        <f>IF(AA32="N/A",
    "",
    IF(OR(AA32="remove text!",AA32="no time?"),
        "E-form incomplete!",
        IF(E32="",
            "",
            IF(AA32&gt;AJ32,
                "Cross check KPI entry!",
                IF(AA32&lt;AJ32,
                    "Cross check e-form entry!",
                    "")))))</f>
        <v/>
      </c>
      <c r="V32" s="606"/>
      <c r="W32" s="606"/>
      <c r="X32" s="606"/>
      <c r="Y32" s="606"/>
      <c r="Z32" s="606"/>
      <c r="AA32" s="607" t="str">
        <f>IF(OR('4. Panel Member Index'!E18="&lt;add relevant review person here&gt;",'4. Panel Member Index'!E18=""),"N/A",IF('5. Review'!H70="","no time?",IF(ISNUMBER('5. Review'!H70),'5. Review'!H70,"remove text!")))</f>
        <v>N/A</v>
      </c>
      <c r="AB32" s="607"/>
      <c r="AC32" s="608"/>
      <c r="AD32" s="608"/>
      <c r="AE32" s="609" t="str">
        <f>IF(AA32="N/A","N/A",AA32/60)</f>
        <v>N/A</v>
      </c>
      <c r="AF32" s="608"/>
      <c r="AG32" s="608"/>
      <c r="AH32" s="49"/>
      <c r="AI32" s="274"/>
      <c r="AJ32" s="307"/>
      <c r="AK32" s="276"/>
      <c r="AL32" s="310"/>
    </row>
    <row r="33" spans="3:38" ht="15.75" customHeight="1">
      <c r="C33" s="273"/>
      <c r="D33" s="281"/>
      <c r="E33" s="610" t="s">
        <v>290</v>
      </c>
      <c r="F33" s="611"/>
      <c r="G33" s="611"/>
      <c r="H33" s="611"/>
      <c r="I33" s="611"/>
      <c r="J33" s="611"/>
      <c r="K33" s="611"/>
      <c r="L33" s="611"/>
      <c r="M33" s="611"/>
      <c r="N33" s="611"/>
      <c r="O33" s="611"/>
      <c r="P33" s="611"/>
      <c r="Q33" s="611"/>
      <c r="R33" s="595">
        <f t="shared" si="1"/>
        <v>0</v>
      </c>
      <c r="S33" s="595"/>
      <c r="T33" s="595"/>
      <c r="U33" s="597" t="str">
        <f t="shared" ref="U33:U44" si="3">IF(OR(AA33="remove text!",AA33="no time?"),"E-form incomplete!",IF(E33="","",IF(AA33&gt;AJ33,"Cross check KPI entry!",IF(AA33&lt;AJ33,"Cross check e-form entry!",""))))</f>
        <v>E-form incomplete!</v>
      </c>
      <c r="V33" s="597"/>
      <c r="W33" s="597"/>
      <c r="X33" s="597"/>
      <c r="Y33" s="597"/>
      <c r="Z33" s="597"/>
      <c r="AA33" s="612" t="str">
        <f>IF(AND(OR('5. Review'!G172="&lt; enter time taken &gt;",'5. Review'!G172=""),OR('5. Review'!G523="&lt; enter time taken &gt;",'5. Review'!G523="")),"no time?",IF(ISNUMBER('5. Review'!G172),SUM('5. Review'!G172,'5. Review'!G523),IF(ISNUMBER('5. Review'!G523),SUM('5. Review'!G172,'5. Review'!G523),"remove text!")))</f>
        <v>no time?</v>
      </c>
      <c r="AB33" s="612"/>
      <c r="AC33" s="601"/>
      <c r="AD33" s="601"/>
      <c r="AE33" s="600" t="e">
        <f>IF(AA33="N/A","N/A",AA33/60)</f>
        <v>#VALUE!</v>
      </c>
      <c r="AF33" s="601"/>
      <c r="AG33" s="601"/>
      <c r="AH33" s="49"/>
      <c r="AI33" s="274"/>
      <c r="AJ33" s="308"/>
      <c r="AK33" s="276"/>
      <c r="AL33" s="310"/>
    </row>
    <row r="34" spans="3:38" ht="15.75" customHeight="1">
      <c r="C34" s="273"/>
      <c r="D34" s="281"/>
      <c r="E34" s="602" t="s">
        <v>291</v>
      </c>
      <c r="F34" s="613"/>
      <c r="G34" s="613"/>
      <c r="H34" s="613"/>
      <c r="I34" s="613"/>
      <c r="J34" s="613"/>
      <c r="K34" s="613"/>
      <c r="L34" s="613"/>
      <c r="M34" s="613"/>
      <c r="N34" s="613"/>
      <c r="O34" s="613"/>
      <c r="P34" s="613"/>
      <c r="Q34" s="613"/>
      <c r="R34" s="603">
        <f t="shared" si="1"/>
        <v>0</v>
      </c>
      <c r="S34" s="604"/>
      <c r="T34" s="604"/>
      <c r="U34" s="605" t="str">
        <f t="shared" si="3"/>
        <v>E-form incomplete!</v>
      </c>
      <c r="V34" s="606"/>
      <c r="W34" s="606"/>
      <c r="X34" s="606"/>
      <c r="Y34" s="606"/>
      <c r="Z34" s="606"/>
      <c r="AA34" s="607" t="str">
        <f>IF(AND(OR('5. Review'!G178="&lt; enter time taken &gt;",'5. Review'!G178=""),OR('5. Review'!G529="&lt; enter time taken &gt;",'5. Review'!G529="")),"no time?",IF(ISNUMBER('5. Review'!G178),SUM('5. Review'!G178,'5. Review'!G529),IF(ISNUMBER('5. Review'!G529),SUM('5. Review'!G178,'5. Review'!G529),"remove text!")))</f>
        <v>no time?</v>
      </c>
      <c r="AB34" s="607"/>
      <c r="AC34" s="608"/>
      <c r="AD34" s="608"/>
      <c r="AE34" s="609" t="e">
        <f>IF(AA34="N/A","N/A",AA34/60)</f>
        <v>#VALUE!</v>
      </c>
      <c r="AF34" s="608"/>
      <c r="AG34" s="608"/>
      <c r="AH34" s="49"/>
      <c r="AI34" s="274"/>
      <c r="AJ34" s="308"/>
      <c r="AK34" s="276"/>
      <c r="AL34" s="310"/>
    </row>
    <row r="35" spans="3:38" ht="15.75" customHeight="1">
      <c r="C35" s="273"/>
      <c r="D35" s="281"/>
      <c r="E35" s="610" t="s">
        <v>292</v>
      </c>
      <c r="F35" s="611"/>
      <c r="G35" s="611"/>
      <c r="H35" s="611"/>
      <c r="I35" s="611"/>
      <c r="J35" s="611"/>
      <c r="K35" s="611"/>
      <c r="L35" s="611"/>
      <c r="M35" s="611"/>
      <c r="N35" s="611"/>
      <c r="O35" s="611"/>
      <c r="P35" s="611"/>
      <c r="Q35" s="611"/>
      <c r="R35" s="595">
        <f t="shared" si="1"/>
        <v>0</v>
      </c>
      <c r="S35" s="595"/>
      <c r="T35" s="595"/>
      <c r="U35" s="597" t="str">
        <f t="shared" si="3"/>
        <v>E-form incomplete!</v>
      </c>
      <c r="V35" s="597"/>
      <c r="W35" s="597"/>
      <c r="X35" s="597"/>
      <c r="Y35" s="597"/>
      <c r="Z35" s="597"/>
      <c r="AA35" s="612" t="str">
        <f>IF(AND(OR('5. Review'!G201="&lt; enter time taken &gt;",'5. Review'!G201=""),OR('5. Review'!G400="&lt; enter time taken &gt;",'5. Review'!G400="",'5. Review'!G429="&lt; enter time taken &gt;",'5. Review'!G429="")),"no time?",IF(ISNUMBER('5. Review'!G201),SUM('5. Review'!G201,'5. Review'!G429,'5. Review'!G400),IF(ISNUMBER('5. Review'!G429),SUM('5. Review'!G201,'5. Review'!G429,'5. Review'!G400),IF(ISNUMBER('5. Review'!G400),SUM('5. Review'!G201,'5. Review'!G429,'5. Review'!G400),"remove text!"))))</f>
        <v>no time?</v>
      </c>
      <c r="AB35" s="612"/>
      <c r="AC35" s="601"/>
      <c r="AD35" s="601"/>
      <c r="AE35" s="600" t="e">
        <f>IF(AA35="N/A","N/A",AA35/60)</f>
        <v>#VALUE!</v>
      </c>
      <c r="AF35" s="601"/>
      <c r="AG35" s="601"/>
      <c r="AH35" s="49"/>
      <c r="AI35" s="274"/>
      <c r="AJ35" s="308"/>
      <c r="AK35" s="276"/>
      <c r="AL35" s="310"/>
    </row>
    <row r="36" spans="3:38" ht="15.75" customHeight="1">
      <c r="C36" s="273"/>
      <c r="D36" s="281"/>
      <c r="E36" s="602" t="s">
        <v>293</v>
      </c>
      <c r="F36" s="613"/>
      <c r="G36" s="613"/>
      <c r="H36" s="613"/>
      <c r="I36" s="613"/>
      <c r="J36" s="613"/>
      <c r="K36" s="613"/>
      <c r="L36" s="613"/>
      <c r="M36" s="613"/>
      <c r="N36" s="613"/>
      <c r="O36" s="613"/>
      <c r="P36" s="613"/>
      <c r="Q36" s="613"/>
      <c r="R36" s="603">
        <f t="shared" si="1"/>
        <v>0</v>
      </c>
      <c r="S36" s="604"/>
      <c r="T36" s="604"/>
      <c r="U36" s="605" t="str">
        <f t="shared" si="3"/>
        <v/>
      </c>
      <c r="V36" s="606"/>
      <c r="W36" s="606"/>
      <c r="X36" s="606"/>
      <c r="Y36" s="606"/>
      <c r="Z36" s="606"/>
      <c r="AA36" s="607">
        <f>IF('3. Registration'!U5="&lt; SELECT HERE! &gt;",0,IF('3. Registration'!U5="Review of expired only product/s with no change since previous approval",0,IF(OR('5. Review'!G226="&lt; enter time taken &gt;",'5. Review'!G226=""),"no time?",IF(ISNUMBER('5. Review'!G226),'5. Review'!G226,"remove text!"))))</f>
        <v>0</v>
      </c>
      <c r="AB36" s="607"/>
      <c r="AC36" s="607"/>
      <c r="AD36" s="607"/>
      <c r="AE36" s="609">
        <f t="shared" si="0"/>
        <v>0</v>
      </c>
      <c r="AF36" s="608"/>
      <c r="AG36" s="608"/>
      <c r="AH36" s="49"/>
      <c r="AI36" s="274"/>
      <c r="AJ36" s="308"/>
      <c r="AK36" s="276"/>
      <c r="AL36" s="310"/>
    </row>
    <row r="37" spans="3:38" ht="15.75" customHeight="1">
      <c r="C37" s="273"/>
      <c r="D37" s="281"/>
      <c r="E37" s="610" t="s">
        <v>294</v>
      </c>
      <c r="F37" s="611"/>
      <c r="G37" s="611"/>
      <c r="H37" s="611"/>
      <c r="I37" s="611"/>
      <c r="J37" s="611"/>
      <c r="K37" s="611"/>
      <c r="L37" s="611"/>
      <c r="M37" s="611"/>
      <c r="N37" s="611"/>
      <c r="O37" s="611"/>
      <c r="P37" s="611"/>
      <c r="Q37" s="611"/>
      <c r="R37" s="595">
        <f t="shared" si="1"/>
        <v>0</v>
      </c>
      <c r="S37" s="595"/>
      <c r="T37" s="595"/>
      <c r="U37" s="597" t="str">
        <f t="shared" si="3"/>
        <v>E-form incomplete!</v>
      </c>
      <c r="V37" s="597"/>
      <c r="W37" s="597"/>
      <c r="X37" s="597"/>
      <c r="Y37" s="597"/>
      <c r="Z37" s="597"/>
      <c r="AA37" s="612" t="str">
        <f>IF(AND(OR('5. Review'!G247="&lt; enter time taken &gt;",'5. Review'!G247=""),OR('5. Review'!G555="&lt; enter time taken &gt;",'5. Review'!G555="")),"no time?",IF(ISNUMBER('5. Review'!G247),SUM('5. Review'!G247,'5. Review'!G555),IF(ISNUMBER('5. Review'!G555),SUM('5. Review'!G247,'5. Review'!G555),"remove text!")))</f>
        <v>no time?</v>
      </c>
      <c r="AB37" s="612"/>
      <c r="AC37" s="601"/>
      <c r="AD37" s="601"/>
      <c r="AE37" s="600" t="e">
        <f t="shared" si="0"/>
        <v>#VALUE!</v>
      </c>
      <c r="AF37" s="601"/>
      <c r="AG37" s="601"/>
      <c r="AH37" s="49"/>
      <c r="AI37" s="274"/>
      <c r="AJ37" s="308"/>
      <c r="AK37" s="276"/>
      <c r="AL37" s="310"/>
    </row>
    <row r="38" spans="3:38" ht="15.75" customHeight="1">
      <c r="C38" s="273"/>
      <c r="D38" s="281"/>
      <c r="E38" s="602" t="s">
        <v>295</v>
      </c>
      <c r="F38" s="613"/>
      <c r="G38" s="613"/>
      <c r="H38" s="613"/>
      <c r="I38" s="613"/>
      <c r="J38" s="613"/>
      <c r="K38" s="613"/>
      <c r="L38" s="613"/>
      <c r="M38" s="613"/>
      <c r="N38" s="613"/>
      <c r="O38" s="613"/>
      <c r="P38" s="613"/>
      <c r="Q38" s="613"/>
      <c r="R38" s="603">
        <f t="shared" si="1"/>
        <v>0</v>
      </c>
      <c r="S38" s="604"/>
      <c r="T38" s="604"/>
      <c r="U38" s="605" t="str">
        <f t="shared" si="3"/>
        <v>E-form incomplete!</v>
      </c>
      <c r="V38" s="606"/>
      <c r="W38" s="606"/>
      <c r="X38" s="606"/>
      <c r="Y38" s="606"/>
      <c r="Z38" s="606"/>
      <c r="AA38" s="607" t="str">
        <f>IF(AND(OR('5. Review'!G268="&lt; enter time taken &gt;",'5. Review'!G268=""),OR('5. Review'!G577="&lt; enter time taken &gt;",'5. Review'!G577="")),"no time?",IF(ISNUMBER('5. Review'!G268),SUM('5. Review'!G268,'5. Review'!G577),IF(ISNUMBER('5. Review'!G577),SUM('5. Review'!G268,'5. Review'!G577),"remove text!")))</f>
        <v>no time?</v>
      </c>
      <c r="AB38" s="607"/>
      <c r="AC38" s="608"/>
      <c r="AD38" s="608"/>
      <c r="AE38" s="609" t="e">
        <f t="shared" si="0"/>
        <v>#VALUE!</v>
      </c>
      <c r="AF38" s="608"/>
      <c r="AG38" s="608"/>
      <c r="AH38" s="49"/>
      <c r="AI38" s="274"/>
      <c r="AJ38" s="308"/>
      <c r="AK38" s="276"/>
      <c r="AL38" s="310"/>
    </row>
    <row r="39" spans="3:38" ht="15.75" customHeight="1">
      <c r="C39" s="273"/>
      <c r="D39" s="281"/>
      <c r="E39" s="610" t="s">
        <v>296</v>
      </c>
      <c r="F39" s="611"/>
      <c r="G39" s="611"/>
      <c r="H39" s="611"/>
      <c r="I39" s="611"/>
      <c r="J39" s="611"/>
      <c r="K39" s="611"/>
      <c r="L39" s="611"/>
      <c r="M39" s="611"/>
      <c r="N39" s="611"/>
      <c r="O39" s="611"/>
      <c r="P39" s="611"/>
      <c r="Q39" s="611"/>
      <c r="R39" s="595">
        <f t="shared" si="1"/>
        <v>0</v>
      </c>
      <c r="S39" s="595"/>
      <c r="T39" s="595"/>
      <c r="U39" s="597" t="str">
        <f t="shared" si="3"/>
        <v>E-form incomplete!</v>
      </c>
      <c r="V39" s="597"/>
      <c r="W39" s="597"/>
      <c r="X39" s="597"/>
      <c r="Y39" s="597"/>
      <c r="Z39" s="597"/>
      <c r="AA39" s="612" t="str">
        <f>IF(AND(OR('5. Review'!G280="&lt; enter time taken &gt;",'5. Review'!G280=""),OR('5. Review'!G589="&lt; enter time taken &gt;",'5. Review'!G589="")),"no time?",IF(ISNUMBER('5. Review'!G280),SUM('5. Review'!G280,'5. Review'!G589),IF(ISNUMBER('5. Review'!G589),SUM('5. Review'!G280,'5. Review'!G589),"remove text!")))</f>
        <v>no time?</v>
      </c>
      <c r="AB39" s="612"/>
      <c r="AC39" s="601"/>
      <c r="AD39" s="601"/>
      <c r="AE39" s="600" t="e">
        <f t="shared" si="0"/>
        <v>#VALUE!</v>
      </c>
      <c r="AF39" s="601"/>
      <c r="AG39" s="601"/>
      <c r="AH39" s="49"/>
      <c r="AI39" s="274"/>
      <c r="AJ39" s="308"/>
      <c r="AK39" s="276"/>
      <c r="AL39" s="310"/>
    </row>
    <row r="40" spans="3:38" ht="15.75" customHeight="1">
      <c r="C40" s="273"/>
      <c r="D40" s="281"/>
      <c r="E40" s="602" t="s">
        <v>297</v>
      </c>
      <c r="F40" s="613"/>
      <c r="G40" s="613"/>
      <c r="H40" s="613"/>
      <c r="I40" s="613"/>
      <c r="J40" s="613"/>
      <c r="K40" s="613"/>
      <c r="L40" s="613"/>
      <c r="M40" s="613"/>
      <c r="N40" s="613"/>
      <c r="O40" s="613"/>
      <c r="P40" s="613"/>
      <c r="Q40" s="613"/>
      <c r="R40" s="603">
        <f t="shared" si="1"/>
        <v>0</v>
      </c>
      <c r="S40" s="604"/>
      <c r="T40" s="604"/>
      <c r="U40" s="605" t="str">
        <f t="shared" si="3"/>
        <v>E-form incomplete!</v>
      </c>
      <c r="V40" s="606"/>
      <c r="W40" s="606"/>
      <c r="X40" s="606"/>
      <c r="Y40" s="606"/>
      <c r="Z40" s="606"/>
      <c r="AA40" s="607" t="str">
        <f>IF(AND(OR('5. Review'!G297="&lt; enter time taken &gt;",'5. Review'!G297=""),OR('5. Review'!G606="&lt; enter time taken &gt;",'5. Review'!G606="")),"no time?",IF(ISNUMBER('5. Review'!G297),SUM('5. Review'!G297,'5. Review'!G606),IF(ISNUMBER('5. Review'!G606),SUM('5. Review'!G297,'5. Review'!G606),"remove text!")))</f>
        <v>no time?</v>
      </c>
      <c r="AB40" s="607"/>
      <c r="AC40" s="608"/>
      <c r="AD40" s="608"/>
      <c r="AE40" s="609" t="e">
        <f t="shared" si="0"/>
        <v>#VALUE!</v>
      </c>
      <c r="AF40" s="608"/>
      <c r="AG40" s="608"/>
      <c r="AH40" s="49"/>
      <c r="AI40" s="274"/>
      <c r="AJ40" s="308"/>
      <c r="AK40" s="276"/>
      <c r="AL40" s="310"/>
    </row>
    <row r="41" spans="3:38" ht="15.75" customHeight="1">
      <c r="C41" s="273"/>
      <c r="D41" s="281"/>
      <c r="E41" s="610" t="s">
        <v>298</v>
      </c>
      <c r="F41" s="611"/>
      <c r="G41" s="611"/>
      <c r="H41" s="611"/>
      <c r="I41" s="611"/>
      <c r="J41" s="611"/>
      <c r="K41" s="611"/>
      <c r="L41" s="611"/>
      <c r="M41" s="611"/>
      <c r="N41" s="611"/>
      <c r="O41" s="611"/>
      <c r="P41" s="611"/>
      <c r="Q41" s="611"/>
      <c r="R41" s="595">
        <f t="shared" si="1"/>
        <v>0</v>
      </c>
      <c r="S41" s="595"/>
      <c r="T41" s="595"/>
      <c r="U41" s="597" t="str">
        <f t="shared" si="3"/>
        <v>E-form incomplete!</v>
      </c>
      <c r="V41" s="597"/>
      <c r="W41" s="597"/>
      <c r="X41" s="597"/>
      <c r="Y41" s="597"/>
      <c r="Z41" s="597"/>
      <c r="AA41" s="612" t="str">
        <f>IF(AND(OR('5. Review'!G312="&lt; enter time taken &gt;",'5. Review'!G312=""),OR('5. Review'!G621="&lt; enter time taken &gt;",'5. Review'!G621="")),"no time?",IF(ISNUMBER('5. Review'!G312),SUM('5. Review'!G312,'5. Review'!G621),IF(ISNUMBER('5. Review'!G621),SUM('5. Review'!G312,'5. Review'!G621),"remove text!")))</f>
        <v>no time?</v>
      </c>
      <c r="AB41" s="612"/>
      <c r="AC41" s="601"/>
      <c r="AD41" s="601"/>
      <c r="AE41" s="600" t="e">
        <f t="shared" si="0"/>
        <v>#VALUE!</v>
      </c>
      <c r="AF41" s="601"/>
      <c r="AG41" s="601"/>
      <c r="AH41" s="49"/>
      <c r="AI41" s="274"/>
      <c r="AJ41" s="308"/>
      <c r="AK41" s="276"/>
      <c r="AL41" s="310"/>
    </row>
    <row r="42" spans="3:38" ht="15.75" customHeight="1">
      <c r="C42" s="273"/>
      <c r="D42" s="281"/>
      <c r="E42" s="602" t="s">
        <v>299</v>
      </c>
      <c r="F42" s="613"/>
      <c r="G42" s="613"/>
      <c r="H42" s="613"/>
      <c r="I42" s="613"/>
      <c r="J42" s="613"/>
      <c r="K42" s="613"/>
      <c r="L42" s="613"/>
      <c r="M42" s="613"/>
      <c r="N42" s="613"/>
      <c r="O42" s="613"/>
      <c r="P42" s="613"/>
      <c r="Q42" s="613"/>
      <c r="R42" s="603">
        <f t="shared" si="1"/>
        <v>0</v>
      </c>
      <c r="S42" s="604"/>
      <c r="T42" s="604"/>
      <c r="U42" s="605" t="str">
        <f t="shared" si="3"/>
        <v>E-form incomplete!</v>
      </c>
      <c r="V42" s="606"/>
      <c r="W42" s="606"/>
      <c r="X42" s="606"/>
      <c r="Y42" s="606"/>
      <c r="Z42" s="606"/>
      <c r="AA42" s="607" t="str">
        <f>IF(AND('5. Review'!G554="approved",'3. Registration'!U5='(admin) Drop Down Variables'!D12),0,IF(AND(OR('5. Review'!G327="&lt; enter time taken &gt;",'5. Review'!G327=""),OR('5. Review'!G634="&lt; enter time taken &gt;",'5. Review'!G634="")),"no time?",IF(ISNUMBER('5. Review'!G327),SUM('5. Review'!G327,'5. Review'!G634),IF(ISNUMBER('5. Review'!G634),SUM('5. Review'!G327,'5. Review'!G634),"remove text!"))))</f>
        <v>no time?</v>
      </c>
      <c r="AB42" s="607"/>
      <c r="AC42" s="608"/>
      <c r="AD42" s="608"/>
      <c r="AE42" s="609" t="e">
        <f t="shared" si="0"/>
        <v>#VALUE!</v>
      </c>
      <c r="AF42" s="608"/>
      <c r="AG42" s="608"/>
      <c r="AH42" s="49"/>
      <c r="AI42" s="274"/>
      <c r="AJ42" s="308"/>
      <c r="AK42" s="276"/>
      <c r="AL42" s="310"/>
    </row>
    <row r="43" spans="3:38" ht="15.75" customHeight="1">
      <c r="C43" s="273"/>
      <c r="D43" s="281"/>
      <c r="E43" s="610" t="s">
        <v>300</v>
      </c>
      <c r="F43" s="611"/>
      <c r="G43" s="611"/>
      <c r="H43" s="611"/>
      <c r="I43" s="611"/>
      <c r="J43" s="611"/>
      <c r="K43" s="611"/>
      <c r="L43" s="611"/>
      <c r="M43" s="611"/>
      <c r="N43" s="611"/>
      <c r="O43" s="611"/>
      <c r="P43" s="611"/>
      <c r="Q43" s="611"/>
      <c r="R43" s="595">
        <f t="shared" si="1"/>
        <v>0</v>
      </c>
      <c r="S43" s="595"/>
      <c r="T43" s="595"/>
      <c r="U43" s="597" t="str">
        <f t="shared" si="3"/>
        <v>E-form incomplete!</v>
      </c>
      <c r="V43" s="597"/>
      <c r="W43" s="597"/>
      <c r="X43" s="597"/>
      <c r="Y43" s="597"/>
      <c r="Z43" s="597"/>
      <c r="AA43" s="612" t="str">
        <f>IF(AND(OR('5. Review'!G338="&lt; enter time taken &gt;",'5. Review'!G338=""),OR('5. Review'!G645="&lt; enter time taken &gt;",'5. Review'!G645="")),"no time?",IF(ISNUMBER('5. Review'!G338),SUM('5. Review'!G338,'5. Review'!G645),IF(ISNUMBER('5. Review'!G645),SUM('5. Review'!G338,'5. Review'!G645),"remove text!")))</f>
        <v>no time?</v>
      </c>
      <c r="AB43" s="612"/>
      <c r="AC43" s="601"/>
      <c r="AD43" s="601"/>
      <c r="AE43" s="600" t="e">
        <f t="shared" si="0"/>
        <v>#VALUE!</v>
      </c>
      <c r="AF43" s="601"/>
      <c r="AG43" s="601"/>
      <c r="AH43" s="49"/>
      <c r="AI43" s="274"/>
      <c r="AJ43" s="308"/>
      <c r="AK43" s="276"/>
      <c r="AL43" s="310"/>
    </row>
    <row r="44" spans="3:38" ht="15.75" customHeight="1">
      <c r="C44" s="273"/>
      <c r="D44" s="281"/>
      <c r="E44" s="602" t="s">
        <v>301</v>
      </c>
      <c r="F44" s="613"/>
      <c r="G44" s="613"/>
      <c r="H44" s="613"/>
      <c r="I44" s="613"/>
      <c r="J44" s="613"/>
      <c r="K44" s="613"/>
      <c r="L44" s="613"/>
      <c r="M44" s="613"/>
      <c r="N44" s="613"/>
      <c r="O44" s="613"/>
      <c r="P44" s="613"/>
      <c r="Q44" s="613"/>
      <c r="R44" s="603">
        <f t="shared" si="1"/>
        <v>0</v>
      </c>
      <c r="S44" s="604"/>
      <c r="T44" s="604"/>
      <c r="U44" s="605" t="str">
        <f t="shared" si="3"/>
        <v>E-form incomplete!</v>
      </c>
      <c r="V44" s="606"/>
      <c r="W44" s="606"/>
      <c r="X44" s="606"/>
      <c r="Y44" s="606"/>
      <c r="Z44" s="606"/>
      <c r="AA44" s="607" t="str">
        <f>IF(AND(OR('5. Review'!G349="&lt; enter time taken &gt;",'5. Review'!G349=""),OR('5. Review'!G656="&lt; enter time taken &gt;",'5. Review'!G656="")),"no time?",IF(ISNUMBER('5. Review'!G349),SUM('5. Review'!G349,'5. Review'!G656),IF(ISNUMBER('5. Review'!G656),SUM('5. Review'!G349,'5. Review'!G656),"remove text!")))</f>
        <v>no time?</v>
      </c>
      <c r="AB44" s="607"/>
      <c r="AC44" s="608"/>
      <c r="AD44" s="608"/>
      <c r="AE44" s="609" t="e">
        <f t="shared" si="0"/>
        <v>#VALUE!</v>
      </c>
      <c r="AF44" s="608"/>
      <c r="AG44" s="608"/>
      <c r="AH44" s="49"/>
      <c r="AI44" s="274"/>
      <c r="AJ44" s="308"/>
      <c r="AK44" s="276"/>
      <c r="AL44" s="310"/>
    </row>
    <row r="45" spans="3:38" ht="15.75" customHeight="1">
      <c r="C45" s="273"/>
      <c r="D45" s="281"/>
      <c r="E45" s="585" t="str">
        <f>IF(K20="&lt; Select here! &gt;","",IF(OR(K20='(admin) Drop Down Variables'!D12,'6. RRR'!K20='(admin) Drop Down Variables'!D13,K20='(admin) Drop Down Variables'!D14),"*The time for the Expiry Notification must be obtained from the previous version of the PA E-Form document used to send"&amp;" the expiry reminder e-mail/s.  The time spent on this previous Expiry Notification activity was the trigger point for this product re-appraisal.",""))</f>
        <v/>
      </c>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5"/>
      <c r="AF45" s="585"/>
      <c r="AG45" s="585"/>
      <c r="AH45" s="49"/>
      <c r="AI45" s="274"/>
    </row>
    <row r="46" spans="3:38" ht="15.75" customHeight="1">
      <c r="C46" s="273"/>
      <c r="D46" s="281"/>
      <c r="E46" s="585"/>
      <c r="F46" s="585"/>
      <c r="G46" s="585"/>
      <c r="H46" s="585"/>
      <c r="I46" s="585"/>
      <c r="J46" s="585"/>
      <c r="K46" s="585"/>
      <c r="L46" s="585"/>
      <c r="M46" s="585"/>
      <c r="N46" s="585"/>
      <c r="O46" s="585"/>
      <c r="P46" s="585"/>
      <c r="Q46" s="585"/>
      <c r="R46" s="585"/>
      <c r="S46" s="585"/>
      <c r="T46" s="585"/>
      <c r="U46" s="585"/>
      <c r="V46" s="585"/>
      <c r="W46" s="585"/>
      <c r="X46" s="585"/>
      <c r="Y46" s="585"/>
      <c r="Z46" s="585"/>
      <c r="AA46" s="585"/>
      <c r="AB46" s="585"/>
      <c r="AC46" s="585"/>
      <c r="AD46" s="585"/>
      <c r="AE46" s="585"/>
      <c r="AF46" s="585"/>
      <c r="AG46" s="585"/>
      <c r="AH46" s="49"/>
      <c r="AI46" s="274"/>
    </row>
    <row r="47" spans="3:38">
      <c r="C47" s="273"/>
      <c r="D47" s="281"/>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2"/>
      <c r="AE47" s="282"/>
      <c r="AF47" s="282"/>
      <c r="AG47" s="282"/>
      <c r="AH47" s="49"/>
      <c r="AI47" s="274"/>
    </row>
    <row r="48" spans="3:38">
      <c r="C48" s="273"/>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86"/>
      <c r="AI48" s="274"/>
    </row>
    <row r="49" spans="3:65">
      <c r="C49" s="273"/>
      <c r="D49" s="295" t="s">
        <v>302</v>
      </c>
      <c r="E49" s="282"/>
      <c r="F49" s="282"/>
      <c r="G49" s="282"/>
      <c r="H49" s="282"/>
      <c r="I49" s="282"/>
      <c r="J49" s="616" t="s">
        <v>39</v>
      </c>
      <c r="K49" s="616"/>
      <c r="L49" s="616"/>
      <c r="M49" s="616"/>
      <c r="N49" s="616"/>
      <c r="O49" s="616"/>
      <c r="P49" s="616"/>
      <c r="Q49" s="616"/>
      <c r="R49" s="616"/>
      <c r="S49" s="282"/>
      <c r="T49" s="282"/>
      <c r="U49" s="318" t="s">
        <v>84</v>
      </c>
      <c r="V49" s="617" t="s">
        <v>39</v>
      </c>
      <c r="W49" s="618"/>
      <c r="X49" s="618"/>
      <c r="Y49" s="618"/>
      <c r="Z49" s="618"/>
      <c r="AA49" s="618"/>
      <c r="AB49" s="618"/>
      <c r="AC49" s="282"/>
      <c r="AD49" s="282"/>
      <c r="AE49" s="282"/>
      <c r="AF49" s="282"/>
      <c r="AG49" s="282"/>
      <c r="AH49" s="49"/>
      <c r="AI49" s="274"/>
      <c r="AJ49" s="724" t="str">
        <f>IF(V49&lt;&gt;"enter here","You must now use the link below to send an e-mail for this RRR to be checked before a Grange sundry account can be raised.","")</f>
        <v/>
      </c>
      <c r="AK49" s="700"/>
      <c r="AL49" s="700"/>
      <c r="AM49" s="700"/>
      <c r="AN49" s="700"/>
      <c r="AO49" s="700"/>
      <c r="AP49" s="700"/>
      <c r="AQ49" s="700"/>
      <c r="AR49" s="700"/>
      <c r="AS49" s="700"/>
      <c r="AT49" s="700"/>
      <c r="AU49" s="700"/>
      <c r="AV49" s="700"/>
      <c r="AW49" s="700"/>
      <c r="AX49" s="700"/>
      <c r="AY49" s="700"/>
      <c r="AZ49" s="700"/>
      <c r="BA49" s="700"/>
      <c r="BB49" s="700"/>
      <c r="BC49" s="700"/>
      <c r="BD49" s="700"/>
      <c r="BE49" s="700"/>
      <c r="BF49" s="700"/>
      <c r="BG49" s="700"/>
      <c r="BH49" s="700"/>
      <c r="BI49" s="700"/>
      <c r="BJ49" s="700"/>
      <c r="BK49" s="700"/>
      <c r="BL49" s="700"/>
      <c r="BM49" s="700"/>
    </row>
    <row r="50" spans="3:65">
      <c r="C50" s="273"/>
      <c r="D50" s="300"/>
      <c r="E50" s="301"/>
      <c r="F50" s="301"/>
      <c r="G50" s="301"/>
      <c r="H50" s="301"/>
      <c r="I50" s="301"/>
      <c r="J50" s="616" t="s">
        <v>303</v>
      </c>
      <c r="K50" s="619"/>
      <c r="L50" s="619"/>
      <c r="M50" s="619"/>
      <c r="N50" s="619"/>
      <c r="O50" s="619"/>
      <c r="P50" s="619"/>
      <c r="Q50" s="619"/>
      <c r="R50" s="619"/>
      <c r="S50" s="282"/>
      <c r="T50" s="282"/>
      <c r="U50" s="282"/>
      <c r="V50" s="282"/>
      <c r="W50" s="282"/>
      <c r="X50" s="282"/>
      <c r="Y50" s="282"/>
      <c r="Z50" s="282"/>
      <c r="AA50" s="282"/>
      <c r="AB50" s="282"/>
      <c r="AC50" s="301"/>
      <c r="AD50" s="301"/>
      <c r="AE50" s="301"/>
      <c r="AF50" s="301"/>
      <c r="AG50" s="301"/>
      <c r="AH50" s="302"/>
      <c r="AI50" s="274"/>
      <c r="AJ50" s="625" t="str">
        <f>IF(V49&lt;&gt;"enter here","https://nexus.watercorporation.com.au/otcs/cs.exe/link/97346990","")</f>
        <v/>
      </c>
      <c r="AK50" s="626"/>
      <c r="AL50" s="626"/>
      <c r="AM50" s="626"/>
      <c r="AN50" s="626"/>
      <c r="AO50" s="626"/>
      <c r="AP50" s="626"/>
      <c r="AQ50" s="626"/>
      <c r="AR50" s="626"/>
      <c r="AS50" s="626"/>
      <c r="AT50" s="626"/>
      <c r="AU50" s="626"/>
      <c r="AV50" s="626"/>
      <c r="AW50" s="626"/>
      <c r="AX50" s="626"/>
      <c r="AY50" s="626"/>
      <c r="AZ50" s="626"/>
      <c r="BA50" s="626"/>
      <c r="BB50" s="626"/>
      <c r="BC50" s="626"/>
      <c r="BD50" s="626"/>
      <c r="BE50" s="626"/>
      <c r="BF50" s="626"/>
      <c r="BG50" s="626"/>
      <c r="BH50" s="626"/>
      <c r="BI50" s="626"/>
      <c r="BJ50" s="626"/>
      <c r="BK50" s="626"/>
      <c r="BL50" s="626"/>
      <c r="BM50" s="626"/>
    </row>
    <row r="51" spans="3:65">
      <c r="C51" s="273"/>
      <c r="D51" s="300"/>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2"/>
      <c r="AI51" s="274"/>
    </row>
    <row r="52" spans="3:65">
      <c r="C52" s="273"/>
      <c r="D52" s="295" t="s">
        <v>304</v>
      </c>
      <c r="E52" s="282"/>
      <c r="F52" s="282"/>
      <c r="G52" s="282"/>
      <c r="H52" s="282"/>
      <c r="I52" s="282"/>
      <c r="J52" s="616" t="s">
        <v>39</v>
      </c>
      <c r="K52" s="616"/>
      <c r="L52" s="616"/>
      <c r="M52" s="616"/>
      <c r="N52" s="616"/>
      <c r="O52" s="616"/>
      <c r="P52" s="616"/>
      <c r="Q52" s="616"/>
      <c r="R52" s="616"/>
      <c r="S52" s="282"/>
      <c r="T52" s="282"/>
      <c r="U52" s="318" t="s">
        <v>84</v>
      </c>
      <c r="V52" s="617" t="s">
        <v>39</v>
      </c>
      <c r="W52" s="618"/>
      <c r="X52" s="618"/>
      <c r="Y52" s="618"/>
      <c r="Z52" s="618"/>
      <c r="AA52" s="618"/>
      <c r="AB52" s="618"/>
      <c r="AC52" s="282"/>
      <c r="AD52" s="282"/>
      <c r="AE52" s="282"/>
      <c r="AF52" s="282"/>
      <c r="AG52" s="282"/>
      <c r="AH52" s="49"/>
      <c r="AI52" s="274"/>
      <c r="AJ52" s="725" t="str">
        <f>IF(V52&lt;&gt;"enter here","Please forward this E-Form document to Officer - C&amp;IS (May Ubalde) for Grange sundry account creation.","")</f>
        <v/>
      </c>
      <c r="AK52" s="726"/>
      <c r="AL52" s="726"/>
      <c r="AM52" s="726"/>
      <c r="AN52" s="726"/>
      <c r="AO52" s="726"/>
      <c r="AP52" s="726"/>
      <c r="AQ52" s="726"/>
      <c r="AR52" s="726"/>
      <c r="AS52" s="726"/>
      <c r="AT52" s="726"/>
      <c r="AU52" s="726"/>
      <c r="AV52" s="726"/>
      <c r="AW52" s="726"/>
      <c r="AX52" s="726"/>
      <c r="AY52" s="726"/>
      <c r="AZ52" s="726"/>
      <c r="BA52" s="726"/>
      <c r="BB52" s="726"/>
      <c r="BC52" s="726"/>
      <c r="BD52" s="726"/>
      <c r="BE52" s="726"/>
      <c r="BF52" s="726"/>
      <c r="BG52" s="726"/>
      <c r="BH52" s="726"/>
      <c r="BI52" s="726"/>
      <c r="BJ52" s="726"/>
      <c r="BK52" s="726"/>
      <c r="BL52" s="726"/>
      <c r="BM52" s="726"/>
    </row>
    <row r="53" spans="3:65">
      <c r="C53" s="273"/>
      <c r="D53" s="300"/>
      <c r="E53" s="301"/>
      <c r="F53" s="301"/>
      <c r="G53" s="301"/>
      <c r="H53" s="301"/>
      <c r="I53" s="301"/>
      <c r="J53" s="616" t="s">
        <v>303</v>
      </c>
      <c r="K53" s="619"/>
      <c r="L53" s="619"/>
      <c r="M53" s="619"/>
      <c r="N53" s="619"/>
      <c r="O53" s="619"/>
      <c r="P53" s="619"/>
      <c r="Q53" s="619"/>
      <c r="R53" s="619"/>
      <c r="S53" s="282"/>
      <c r="T53" s="282"/>
      <c r="U53" s="282"/>
      <c r="V53" s="282"/>
      <c r="W53" s="282"/>
      <c r="X53" s="282"/>
      <c r="Y53" s="282"/>
      <c r="Z53" s="282"/>
      <c r="AA53" s="282"/>
      <c r="AB53" s="282"/>
      <c r="AC53" s="301"/>
      <c r="AD53" s="301"/>
      <c r="AE53" s="301"/>
      <c r="AF53" s="301"/>
      <c r="AG53" s="301"/>
      <c r="AH53" s="302"/>
      <c r="AI53" s="274"/>
      <c r="AJ53" s="622" t="str">
        <f>IF(V52&lt;&gt;"enter here","May.Ubalde@watercorporation.com.au","")</f>
        <v/>
      </c>
      <c r="AK53" s="726"/>
      <c r="AL53" s="726"/>
      <c r="AM53" s="726"/>
      <c r="AN53" s="726"/>
      <c r="AO53" s="726"/>
      <c r="AP53" s="726"/>
      <c r="AQ53" s="726"/>
      <c r="AR53" s="726"/>
      <c r="AS53" s="726"/>
      <c r="AT53" s="726"/>
      <c r="AU53" s="726"/>
      <c r="AV53" s="726"/>
      <c r="AW53" s="726"/>
      <c r="AX53" s="726"/>
      <c r="AY53" s="726"/>
      <c r="AZ53" s="726"/>
      <c r="BA53" s="726"/>
      <c r="BB53" s="726"/>
      <c r="BC53" s="726"/>
      <c r="BD53" s="726"/>
      <c r="BE53" s="726"/>
      <c r="BF53" s="726"/>
      <c r="BG53" s="726"/>
      <c r="BH53" s="726"/>
      <c r="BI53" s="726"/>
      <c r="BJ53" s="726"/>
      <c r="BK53" s="726"/>
      <c r="BL53" s="726"/>
      <c r="BM53" s="726"/>
    </row>
    <row r="54" spans="3:65">
      <c r="C54" s="273"/>
      <c r="D54" s="294" t="s">
        <v>305</v>
      </c>
      <c r="E54" s="282"/>
      <c r="F54" s="282"/>
      <c r="G54" s="282"/>
      <c r="H54" s="282"/>
      <c r="I54" s="282"/>
      <c r="J54" s="282"/>
      <c r="K54" s="282"/>
      <c r="L54" s="282"/>
      <c r="M54" s="282"/>
      <c r="N54" s="282"/>
      <c r="O54" s="282"/>
      <c r="P54" s="282"/>
      <c r="Q54" s="282"/>
      <c r="R54" s="282"/>
      <c r="S54" s="282"/>
      <c r="T54" s="282"/>
      <c r="U54" s="282"/>
      <c r="V54" s="282"/>
      <c r="W54" s="282"/>
      <c r="X54" s="282"/>
      <c r="Y54" s="282"/>
      <c r="Z54" s="282"/>
      <c r="AA54" s="282"/>
      <c r="AB54" s="282"/>
      <c r="AC54" s="282"/>
      <c r="AD54" s="282"/>
      <c r="AE54" s="282"/>
      <c r="AF54" s="282"/>
      <c r="AG54" s="282"/>
      <c r="AH54" s="49"/>
      <c r="AI54" s="274"/>
    </row>
    <row r="55" spans="3:65">
      <c r="C55" s="273"/>
      <c r="D55" s="303" t="s">
        <v>306</v>
      </c>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86"/>
      <c r="AI55" s="274"/>
    </row>
    <row r="56" spans="3:65">
      <c r="C56" s="273"/>
      <c r="D56" s="281"/>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49"/>
      <c r="AI56" s="274"/>
    </row>
    <row r="57" spans="3:65">
      <c r="C57" s="273"/>
      <c r="D57" s="295" t="s">
        <v>307</v>
      </c>
      <c r="E57" s="282"/>
      <c r="F57" s="282"/>
      <c r="G57" s="282"/>
      <c r="H57" s="282"/>
      <c r="I57" s="282"/>
      <c r="J57" s="616" t="s">
        <v>39</v>
      </c>
      <c r="K57" s="616"/>
      <c r="L57" s="616"/>
      <c r="M57" s="616"/>
      <c r="N57" s="616"/>
      <c r="O57" s="616"/>
      <c r="P57" s="616"/>
      <c r="Q57" s="616"/>
      <c r="R57" s="616"/>
      <c r="S57" s="282"/>
      <c r="T57" s="282"/>
      <c r="U57" s="318" t="s">
        <v>84</v>
      </c>
      <c r="V57" s="617" t="s">
        <v>39</v>
      </c>
      <c r="W57" s="618"/>
      <c r="X57" s="618"/>
      <c r="Y57" s="618"/>
      <c r="Z57" s="618"/>
      <c r="AA57" s="618"/>
      <c r="AB57" s="618"/>
      <c r="AC57" s="282"/>
      <c r="AD57" s="282"/>
      <c r="AE57" s="282"/>
      <c r="AF57" s="282"/>
      <c r="AG57" s="282"/>
      <c r="AH57" s="49"/>
      <c r="AI57" s="274"/>
      <c r="AJ57" s="725" t="str">
        <f>IF(V57&lt;&gt;"enter here","Please advise TL - Investigations (Steve Jerkovic) that the Grange sundry account has now been created.","")</f>
        <v/>
      </c>
      <c r="AK57" s="726"/>
      <c r="AL57" s="726"/>
      <c r="AM57" s="726"/>
      <c r="AN57" s="726"/>
      <c r="AO57" s="726"/>
      <c r="AP57" s="726"/>
      <c r="AQ57" s="726"/>
      <c r="AR57" s="726"/>
      <c r="AS57" s="726"/>
      <c r="AT57" s="726"/>
      <c r="AU57" s="726"/>
      <c r="AV57" s="726"/>
      <c r="AW57" s="726"/>
      <c r="AX57" s="726"/>
      <c r="AY57" s="726"/>
      <c r="AZ57" s="726"/>
      <c r="BA57" s="726"/>
      <c r="BB57" s="726"/>
      <c r="BC57" s="726"/>
      <c r="BD57" s="726"/>
      <c r="BE57" s="726"/>
      <c r="BF57" s="726"/>
      <c r="BG57" s="726"/>
      <c r="BH57" s="726"/>
      <c r="BI57" s="726"/>
      <c r="BJ57" s="726"/>
      <c r="BK57" s="726"/>
      <c r="BL57" s="726"/>
      <c r="BM57" s="726"/>
    </row>
    <row r="58" spans="3:65">
      <c r="C58" s="273"/>
      <c r="D58" s="281"/>
      <c r="E58" s="282"/>
      <c r="F58" s="282"/>
      <c r="G58" s="282"/>
      <c r="H58" s="282"/>
      <c r="I58" s="282"/>
      <c r="J58" s="616" t="s">
        <v>303</v>
      </c>
      <c r="K58" s="619"/>
      <c r="L58" s="619"/>
      <c r="M58" s="619"/>
      <c r="N58" s="619"/>
      <c r="O58" s="619"/>
      <c r="P58" s="619"/>
      <c r="Q58" s="619"/>
      <c r="R58" s="619"/>
      <c r="S58" s="282"/>
      <c r="T58" s="282"/>
      <c r="U58" s="282"/>
      <c r="V58" s="282"/>
      <c r="W58" s="282"/>
      <c r="X58" s="282"/>
      <c r="Y58" s="282"/>
      <c r="Z58" s="282"/>
      <c r="AA58" s="282"/>
      <c r="AB58" s="282"/>
      <c r="AC58" s="282"/>
      <c r="AD58" s="282"/>
      <c r="AE58" s="282"/>
      <c r="AF58" s="282"/>
      <c r="AG58" s="282"/>
      <c r="AH58" s="49"/>
      <c r="AI58" s="274"/>
      <c r="AJ58" s="622" t="str">
        <f>IF(V57&lt;&gt;"enter here","stephen.jerkovic@watercorporation.com.au","")</f>
        <v/>
      </c>
      <c r="AK58" s="623"/>
      <c r="AL58" s="623"/>
      <c r="AM58" s="623"/>
      <c r="AN58" s="623"/>
      <c r="AO58" s="623"/>
      <c r="AP58" s="623"/>
      <c r="AQ58" s="623"/>
      <c r="AR58" s="623"/>
      <c r="AS58" s="623"/>
      <c r="AT58" s="623"/>
      <c r="AU58" s="623"/>
      <c r="AV58" s="623"/>
      <c r="AW58" s="623"/>
      <c r="AX58" s="623"/>
      <c r="AY58" s="623"/>
      <c r="AZ58" s="623"/>
      <c r="BA58" s="623"/>
      <c r="BB58" s="623"/>
      <c r="BC58" s="623"/>
      <c r="BD58" s="623"/>
      <c r="BE58" s="623"/>
      <c r="BF58" s="623"/>
      <c r="BG58" s="623"/>
      <c r="BH58" s="623"/>
      <c r="BI58" s="623"/>
      <c r="BJ58" s="623"/>
      <c r="BK58" s="623"/>
      <c r="BL58" s="623"/>
      <c r="BM58" s="623"/>
    </row>
    <row r="59" spans="3:65">
      <c r="C59" s="273"/>
      <c r="D59" s="281"/>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282"/>
      <c r="AD59" s="282"/>
      <c r="AE59" s="282"/>
      <c r="AF59" s="282"/>
      <c r="AG59" s="282"/>
      <c r="AH59" s="49"/>
      <c r="AI59" s="274"/>
    </row>
    <row r="60" spans="3:65">
      <c r="C60" s="273"/>
      <c r="D60" s="295" t="s">
        <v>304</v>
      </c>
      <c r="E60" s="282"/>
      <c r="F60" s="282"/>
      <c r="G60" s="282"/>
      <c r="H60" s="282"/>
      <c r="I60" s="282"/>
      <c r="J60" s="616" t="s">
        <v>39</v>
      </c>
      <c r="K60" s="616"/>
      <c r="L60" s="616"/>
      <c r="M60" s="616"/>
      <c r="N60" s="616"/>
      <c r="O60" s="616"/>
      <c r="P60" s="616"/>
      <c r="Q60" s="616"/>
      <c r="R60" s="616"/>
      <c r="S60" s="282"/>
      <c r="T60" s="282"/>
      <c r="U60" s="318" t="s">
        <v>84</v>
      </c>
      <c r="V60" s="617" t="s">
        <v>39</v>
      </c>
      <c r="W60" s="618"/>
      <c r="X60" s="618"/>
      <c r="Y60" s="618"/>
      <c r="Z60" s="618"/>
      <c r="AA60" s="618"/>
      <c r="AB60" s="618"/>
      <c r="AC60" s="282"/>
      <c r="AD60" s="282"/>
      <c r="AE60" s="282"/>
      <c r="AF60" s="282"/>
      <c r="AG60" s="282"/>
      <c r="AH60" s="49"/>
      <c r="AI60" s="274"/>
    </row>
    <row r="61" spans="3:65">
      <c r="C61" s="273"/>
      <c r="D61" s="281"/>
      <c r="E61" s="282"/>
      <c r="F61" s="282"/>
      <c r="G61" s="282"/>
      <c r="H61" s="282"/>
      <c r="I61" s="282"/>
      <c r="J61" s="616" t="s">
        <v>303</v>
      </c>
      <c r="K61" s="619"/>
      <c r="L61" s="619"/>
      <c r="M61" s="619"/>
      <c r="N61" s="619"/>
      <c r="O61" s="619"/>
      <c r="P61" s="619"/>
      <c r="Q61" s="619"/>
      <c r="R61" s="619"/>
      <c r="S61" s="282"/>
      <c r="T61" s="282"/>
      <c r="U61" s="282"/>
      <c r="V61" s="282"/>
      <c r="W61" s="282"/>
      <c r="X61" s="282"/>
      <c r="Y61" s="282"/>
      <c r="Z61" s="282"/>
      <c r="AA61" s="282"/>
      <c r="AB61" s="282"/>
      <c r="AC61" s="282"/>
      <c r="AD61" s="282"/>
      <c r="AE61" s="282"/>
      <c r="AF61" s="282"/>
      <c r="AG61" s="282"/>
      <c r="AH61" s="49"/>
      <c r="AI61" s="274"/>
    </row>
    <row r="62" spans="3:65">
      <c r="C62" s="273"/>
      <c r="D62" s="281"/>
      <c r="E62" s="282"/>
      <c r="F62" s="282"/>
      <c r="G62" s="282"/>
      <c r="H62" s="282"/>
      <c r="I62" s="282"/>
      <c r="J62" s="282"/>
      <c r="K62" s="282"/>
      <c r="L62" s="282"/>
      <c r="M62" s="282"/>
      <c r="N62" s="282"/>
      <c r="O62" s="282"/>
      <c r="P62" s="282"/>
      <c r="Q62" s="282"/>
      <c r="R62" s="282"/>
      <c r="S62" s="282"/>
      <c r="T62" s="282"/>
      <c r="U62" s="282"/>
      <c r="V62" s="282"/>
      <c r="W62" s="282"/>
      <c r="X62" s="282"/>
      <c r="Y62" s="282"/>
      <c r="Z62" s="282"/>
      <c r="AA62" s="282"/>
      <c r="AB62" s="282"/>
      <c r="AC62" s="282"/>
      <c r="AD62" s="282"/>
      <c r="AE62" s="282"/>
      <c r="AF62" s="282"/>
      <c r="AG62" s="282"/>
      <c r="AH62" s="49"/>
      <c r="AI62" s="274"/>
    </row>
    <row r="63" spans="3:65" ht="18.75" customHeight="1">
      <c r="C63" s="273"/>
      <c r="D63" s="304" t="s">
        <v>308</v>
      </c>
      <c r="E63" s="282"/>
      <c r="F63" s="282"/>
      <c r="G63" s="282"/>
      <c r="H63" s="282"/>
      <c r="I63" s="282"/>
      <c r="J63" s="282"/>
      <c r="K63" s="282"/>
      <c r="L63" s="620" t="s">
        <v>39</v>
      </c>
      <c r="M63" s="621"/>
      <c r="N63" s="621"/>
      <c r="O63" s="621"/>
      <c r="P63" s="621"/>
      <c r="Q63" s="621"/>
      <c r="R63" s="621"/>
      <c r="S63" s="621"/>
      <c r="T63" s="621"/>
      <c r="U63" s="621"/>
      <c r="V63" s="305"/>
      <c r="W63" s="282"/>
      <c r="X63" s="305"/>
      <c r="Y63" s="282"/>
      <c r="Z63" s="305"/>
      <c r="AA63" s="282"/>
      <c r="AB63" s="305"/>
      <c r="AC63" s="282"/>
      <c r="AD63" s="305"/>
      <c r="AE63" s="282"/>
      <c r="AF63" s="305"/>
      <c r="AG63" s="282"/>
      <c r="AH63" s="49"/>
      <c r="AI63" s="274"/>
    </row>
    <row r="64" spans="3:65" ht="18.75" customHeight="1">
      <c r="C64" s="273"/>
      <c r="D64" s="281"/>
      <c r="E64" s="282"/>
      <c r="F64" s="282"/>
      <c r="G64" s="282"/>
      <c r="H64" s="282"/>
      <c r="I64" s="282"/>
      <c r="J64" s="282"/>
      <c r="K64" s="282"/>
      <c r="L64" s="621"/>
      <c r="M64" s="621"/>
      <c r="N64" s="621"/>
      <c r="O64" s="621"/>
      <c r="P64" s="621"/>
      <c r="Q64" s="621"/>
      <c r="R64" s="621"/>
      <c r="S64" s="621"/>
      <c r="T64" s="621"/>
      <c r="U64" s="621"/>
      <c r="V64" s="305"/>
      <c r="W64" s="282"/>
      <c r="X64" s="305"/>
      <c r="Y64" s="282"/>
      <c r="Z64" s="305"/>
      <c r="AA64" s="282"/>
      <c r="AB64" s="305"/>
      <c r="AC64" s="282"/>
      <c r="AD64" s="305"/>
      <c r="AE64" s="282"/>
      <c r="AF64" s="305"/>
      <c r="AG64" s="282"/>
      <c r="AH64" s="49"/>
      <c r="AI64" s="274"/>
    </row>
    <row r="65" spans="3:65" ht="15.75" customHeight="1">
      <c r="C65" s="273"/>
      <c r="D65" s="281"/>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2"/>
      <c r="AH65" s="49"/>
      <c r="AI65" s="274"/>
    </row>
    <row r="66" spans="3:65">
      <c r="C66" s="273"/>
      <c r="D66" s="303" t="s">
        <v>309</v>
      </c>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86"/>
      <c r="AI66" s="274"/>
    </row>
    <row r="67" spans="3:65">
      <c r="C67" s="273"/>
      <c r="D67" s="295" t="s">
        <v>310</v>
      </c>
      <c r="E67" s="282"/>
      <c r="F67" s="282"/>
      <c r="G67" s="282"/>
      <c r="H67" s="282"/>
      <c r="I67" s="282"/>
      <c r="J67" s="616" t="s">
        <v>39</v>
      </c>
      <c r="K67" s="616"/>
      <c r="L67" s="616"/>
      <c r="M67" s="616"/>
      <c r="N67" s="616"/>
      <c r="O67" s="616"/>
      <c r="P67" s="616"/>
      <c r="Q67" s="616"/>
      <c r="R67" s="616"/>
      <c r="S67" s="282"/>
      <c r="T67" s="282"/>
      <c r="U67" s="318" t="s">
        <v>84</v>
      </c>
      <c r="V67" s="617" t="s">
        <v>39</v>
      </c>
      <c r="W67" s="618"/>
      <c r="X67" s="618"/>
      <c r="Y67" s="618"/>
      <c r="Z67" s="618"/>
      <c r="AA67" s="618"/>
      <c r="AB67" s="618"/>
      <c r="AC67" s="282"/>
      <c r="AD67" s="282"/>
      <c r="AE67" s="282"/>
      <c r="AF67" s="282"/>
      <c r="AG67" s="282"/>
      <c r="AH67" s="49"/>
      <c r="AI67" s="274"/>
      <c r="AJ67" s="725" t="str">
        <f>IF(V67="enter here","",IF(AND(V67&lt;&gt;"enter here",OR('5. Review'!G246="rejected",'5. Review'!G554="rejected")),"Update the I&amp;ASS and hide all of the tabs below except for the '1. Status' tab. Save the e-form.",IF(OR('5. Review'!G246="approved",'5. Review'!G554="approved"),"You are not yet finished.  You need to send the Notification of Completion e-mail below.","")))</f>
        <v/>
      </c>
      <c r="AK67" s="726"/>
      <c r="AL67" s="726"/>
      <c r="AM67" s="726"/>
      <c r="AN67" s="726"/>
      <c r="AO67" s="726"/>
      <c r="AP67" s="726"/>
      <c r="AQ67" s="726"/>
      <c r="AR67" s="726"/>
      <c r="AS67" s="726"/>
      <c r="AT67" s="726"/>
      <c r="AU67" s="726"/>
      <c r="AV67" s="726"/>
      <c r="AW67" s="726"/>
      <c r="AX67" s="726"/>
      <c r="AY67" s="726"/>
      <c r="AZ67" s="726"/>
      <c r="BA67" s="726"/>
      <c r="BB67" s="726"/>
      <c r="BC67" s="726"/>
      <c r="BD67" s="726"/>
      <c r="BE67" s="726"/>
      <c r="BF67" s="726"/>
      <c r="BG67" s="726"/>
      <c r="BH67" s="726"/>
      <c r="BI67" s="726"/>
      <c r="BJ67" s="726"/>
      <c r="BK67" s="726"/>
      <c r="BL67" s="726"/>
      <c r="BM67" s="726"/>
    </row>
    <row r="68" spans="3:65">
      <c r="C68" s="273"/>
      <c r="D68" s="281"/>
      <c r="E68" s="282"/>
      <c r="F68" s="282"/>
      <c r="G68" s="282"/>
      <c r="H68" s="282"/>
      <c r="I68" s="282"/>
      <c r="J68" s="616" t="s">
        <v>303</v>
      </c>
      <c r="K68" s="619"/>
      <c r="L68" s="619"/>
      <c r="M68" s="619"/>
      <c r="N68" s="619"/>
      <c r="O68" s="619"/>
      <c r="P68" s="619"/>
      <c r="Q68" s="619"/>
      <c r="R68" s="619"/>
      <c r="S68" s="282"/>
      <c r="T68" s="282"/>
      <c r="U68" s="282"/>
      <c r="V68" s="282"/>
      <c r="W68" s="282"/>
      <c r="X68" s="282"/>
      <c r="Y68" s="282"/>
      <c r="Z68" s="282"/>
      <c r="AA68" s="282"/>
      <c r="AB68" s="282"/>
      <c r="AC68" s="282"/>
      <c r="AD68" s="282"/>
      <c r="AE68" s="282"/>
      <c r="AF68" s="282"/>
      <c r="AG68" s="282"/>
      <c r="AH68" s="49"/>
      <c r="AI68" s="274"/>
    </row>
    <row r="69" spans="3:65">
      <c r="D69" s="287"/>
      <c r="E69" s="283"/>
      <c r="F69" s="283"/>
      <c r="G69" s="283"/>
      <c r="H69" s="283"/>
      <c r="I69" s="283"/>
      <c r="J69" s="327"/>
      <c r="K69" s="328"/>
      <c r="L69" s="328"/>
      <c r="M69" s="328"/>
      <c r="N69" s="328"/>
      <c r="O69" s="328"/>
      <c r="P69" s="328"/>
      <c r="Q69" s="328"/>
      <c r="R69" s="328"/>
      <c r="S69" s="283"/>
      <c r="T69" s="283"/>
      <c r="U69" s="283"/>
      <c r="V69" s="283"/>
      <c r="W69" s="283"/>
      <c r="X69" s="283"/>
      <c r="Y69" s="283"/>
      <c r="Z69" s="283"/>
      <c r="AA69" s="283"/>
      <c r="AB69" s="283"/>
      <c r="AC69" s="283"/>
      <c r="AD69" s="283"/>
      <c r="AE69" s="283"/>
      <c r="AF69" s="283"/>
      <c r="AG69" s="283"/>
      <c r="AH69" s="288"/>
    </row>
    <row r="71" spans="3:65">
      <c r="E71" s="584" t="s">
        <v>270</v>
      </c>
      <c r="F71" s="584"/>
      <c r="G71" s="584"/>
      <c r="H71" s="584"/>
      <c r="I71" s="584"/>
      <c r="J71" s="584"/>
      <c r="K71" s="584"/>
      <c r="L71" s="584"/>
      <c r="M71" s="584"/>
      <c r="N71" s="584"/>
      <c r="O71" s="584"/>
      <c r="P71" s="584"/>
    </row>
    <row r="72" spans="3:65">
      <c r="AF72" s="277"/>
    </row>
    <row r="73" spans="3:65">
      <c r="D73" s="346"/>
      <c r="E73" s="312"/>
      <c r="F73" s="312"/>
      <c r="G73" s="312"/>
      <c r="H73" s="312"/>
      <c r="I73" s="312"/>
      <c r="J73" s="312"/>
      <c r="K73" s="312"/>
      <c r="L73" s="312"/>
      <c r="M73" s="312"/>
      <c r="N73" s="312"/>
      <c r="O73" s="312"/>
      <c r="P73" s="312"/>
      <c r="Q73" s="346"/>
      <c r="R73" s="346"/>
      <c r="S73" s="346"/>
      <c r="T73" s="346"/>
      <c r="U73" s="346"/>
      <c r="V73" s="346"/>
      <c r="W73" s="346"/>
      <c r="X73" s="346"/>
      <c r="Y73" s="346"/>
      <c r="Z73" s="346"/>
      <c r="AA73" s="346"/>
      <c r="AB73" s="346"/>
      <c r="AC73" s="346"/>
      <c r="AD73" s="346"/>
      <c r="AE73" s="346"/>
      <c r="AF73" s="346"/>
      <c r="AG73" s="346"/>
      <c r="AH73" s="346"/>
    </row>
    <row r="74" spans="3:65" ht="16.899999999999999">
      <c r="D74" s="583" t="str">
        <f>IF(OR('5. Review'!G246="rejected",'5. Review'!G554="rejected"),"","A notification of completion e-mail must be sent to ALL C&amp;IS staff once the approval certificate has been finalised.")</f>
        <v>A notification of completion e-mail must be sent to ALL C&amp;IS staff once the approval certificate has been finalised.</v>
      </c>
      <c r="E74" s="727"/>
      <c r="F74" s="727"/>
      <c r="G74" s="727"/>
      <c r="H74" s="727"/>
      <c r="I74" s="727"/>
      <c r="J74" s="727"/>
      <c r="K74" s="727"/>
      <c r="L74" s="727"/>
      <c r="M74" s="727"/>
      <c r="N74" s="727"/>
      <c r="O74" s="727"/>
      <c r="P74" s="727"/>
      <c r="Q74" s="727"/>
      <c r="R74" s="727"/>
      <c r="S74" s="727"/>
      <c r="T74" s="727"/>
      <c r="U74" s="727"/>
      <c r="V74" s="727"/>
      <c r="W74" s="727"/>
      <c r="X74" s="727"/>
      <c r="Y74" s="727"/>
      <c r="Z74" s="727"/>
      <c r="AA74" s="727"/>
      <c r="AB74" s="727"/>
      <c r="AC74" s="727"/>
      <c r="AD74" s="727"/>
      <c r="AE74" s="727"/>
      <c r="AF74" s="727"/>
      <c r="AG74" s="727"/>
      <c r="AH74" s="728"/>
    </row>
    <row r="75" spans="3:65">
      <c r="D75" s="346"/>
      <c r="E75" s="314"/>
      <c r="F75" s="312"/>
      <c r="G75" s="312"/>
      <c r="H75" s="312"/>
      <c r="I75" s="312"/>
      <c r="J75" s="312"/>
      <c r="K75" s="312"/>
      <c r="L75" s="312"/>
      <c r="M75" s="312"/>
      <c r="N75" s="312"/>
      <c r="O75" s="312"/>
      <c r="P75" s="312"/>
      <c r="Q75" s="346"/>
      <c r="R75" s="346"/>
      <c r="S75" s="346"/>
      <c r="T75" s="346"/>
      <c r="U75" s="346"/>
      <c r="V75" s="346"/>
      <c r="W75" s="346"/>
      <c r="X75" s="346"/>
      <c r="Y75" s="346"/>
      <c r="Z75" s="346"/>
      <c r="AA75" s="347"/>
      <c r="AB75" s="347"/>
      <c r="AC75" s="347"/>
      <c r="AD75" s="347"/>
      <c r="AE75" s="347"/>
      <c r="AF75" s="347"/>
      <c r="AG75" s="347"/>
      <c r="AH75" s="346"/>
    </row>
    <row r="76" spans="3:65">
      <c r="D76" s="346"/>
      <c r="E76" s="576" t="str">
        <f>IF(OR('5. Review'!G246="rejected",'5. Review'!G554="rejected"),"","Nexus reference of notification e-mail to be sent: ")</f>
        <v xml:space="preserve">Nexus reference of notification e-mail to be sent: </v>
      </c>
      <c r="F76" s="577"/>
      <c r="G76" s="577"/>
      <c r="H76" s="577"/>
      <c r="I76" s="577"/>
      <c r="J76" s="577"/>
      <c r="K76" s="577"/>
      <c r="L76" s="577"/>
      <c r="M76" s="577"/>
      <c r="N76" s="577"/>
      <c r="O76" s="577"/>
      <c r="P76" s="578"/>
      <c r="Q76" s="579" t="str">
        <f>IF(OR('5. Review'!G246="rejected",'5. Review'!G554="rejected"),"","81537484")</f>
        <v>81537484</v>
      </c>
      <c r="R76" s="580"/>
      <c r="S76" s="580"/>
      <c r="T76" s="580"/>
      <c r="U76" s="581"/>
      <c r="V76" s="346"/>
      <c r="W76" s="346"/>
      <c r="X76" s="346"/>
      <c r="Y76" s="346"/>
      <c r="Z76" s="346"/>
      <c r="AA76" s="348"/>
      <c r="AB76" s="345" t="str">
        <f>IF(OR('5. Review'!G246="rejected",'5. Review'!G554="rejected"),"","Date sent:")</f>
        <v>Date sent:</v>
      </c>
      <c r="AC76" s="582" t="str">
        <f>IF(OR('5. Review'!G246="rejected",'5. Review'!G554="rejected"),"","enter here")</f>
        <v>enter here</v>
      </c>
      <c r="AD76" s="729"/>
      <c r="AE76" s="729"/>
      <c r="AF76" s="729"/>
      <c r="AG76" s="730"/>
      <c r="AH76" s="349"/>
      <c r="AJ76" s="725" t="str">
        <f>IF(OR('5. Review'!G246="rejected",'5. Review'!G554="rejected"),"",IF(AC76&lt;&gt;"enter here","Update the I&amp;ASS and hide all of the tabs below except for the '1. Status' tab. Save the e-form.",""))</f>
        <v/>
      </c>
      <c r="AK76" s="726"/>
      <c r="AL76" s="726"/>
      <c r="AM76" s="726"/>
      <c r="AN76" s="726"/>
      <c r="AO76" s="726"/>
      <c r="AP76" s="726"/>
      <c r="AQ76" s="726"/>
      <c r="AR76" s="726"/>
      <c r="AS76" s="726"/>
      <c r="AT76" s="726"/>
      <c r="AU76" s="726"/>
      <c r="AV76" s="726"/>
      <c r="AW76" s="726"/>
      <c r="AX76" s="726"/>
      <c r="AY76" s="726"/>
      <c r="AZ76" s="726"/>
      <c r="BA76" s="726"/>
      <c r="BB76" s="726"/>
      <c r="BC76" s="726"/>
      <c r="BD76" s="726"/>
      <c r="BE76" s="726"/>
      <c r="BF76" s="726"/>
      <c r="BG76" s="726"/>
      <c r="BH76" s="726"/>
      <c r="BI76" s="726"/>
      <c r="BJ76" s="726"/>
      <c r="BK76" s="726"/>
      <c r="BL76" s="726"/>
      <c r="BM76" s="726"/>
    </row>
    <row r="77" spans="3:65">
      <c r="D77" s="346"/>
      <c r="E77" s="313"/>
      <c r="F77" s="312"/>
      <c r="G77" s="312"/>
      <c r="H77" s="312"/>
      <c r="I77" s="312"/>
      <c r="J77" s="312"/>
      <c r="K77" s="312"/>
      <c r="L77" s="312"/>
      <c r="M77" s="312"/>
      <c r="N77" s="312"/>
      <c r="O77" s="312"/>
      <c r="P77" s="312"/>
      <c r="Q77" s="346"/>
      <c r="R77" s="346"/>
      <c r="S77" s="346"/>
      <c r="T77" s="346"/>
      <c r="U77" s="346"/>
      <c r="V77" s="346"/>
      <c r="W77" s="346"/>
      <c r="X77" s="346"/>
      <c r="Y77" s="346"/>
      <c r="Z77" s="346"/>
      <c r="AA77" s="346"/>
      <c r="AB77" s="346"/>
      <c r="AC77" s="346"/>
      <c r="AD77" s="346"/>
      <c r="AE77" s="346"/>
      <c r="AF77" s="346"/>
      <c r="AG77" s="346"/>
      <c r="AH77" s="346"/>
    </row>
    <row r="79" spans="3:65">
      <c r="AF79" s="277"/>
    </row>
    <row r="80" spans="3:65">
      <c r="AF80" s="277"/>
    </row>
  </sheetData>
  <mergeCells count="152">
    <mergeCell ref="AJ53:BM53"/>
    <mergeCell ref="AJ57:BM57"/>
    <mergeCell ref="E42:Q42"/>
    <mergeCell ref="R42:T42"/>
    <mergeCell ref="U42:Z42"/>
    <mergeCell ref="AA42:AD42"/>
    <mergeCell ref="AE42:AG42"/>
    <mergeCell ref="E43:Q43"/>
    <mergeCell ref="R43:T43"/>
    <mergeCell ref="U43:Z43"/>
    <mergeCell ref="AA43:AD43"/>
    <mergeCell ref="AE43:AG43"/>
    <mergeCell ref="AJ6:BM6"/>
    <mergeCell ref="AJ12:BM12"/>
    <mergeCell ref="AJ9:BM9"/>
    <mergeCell ref="K21:O21"/>
    <mergeCell ref="AJ50:BM50"/>
    <mergeCell ref="AJ49:BM49"/>
    <mergeCell ref="AJ52:BM52"/>
    <mergeCell ref="E39:Q39"/>
    <mergeCell ref="R39:T39"/>
    <mergeCell ref="Q21:AG21"/>
    <mergeCell ref="K20:AG20"/>
    <mergeCell ref="AO15:CB16"/>
    <mergeCell ref="AO18:CB19"/>
    <mergeCell ref="AO24:CB25"/>
    <mergeCell ref="AO21:CB22"/>
    <mergeCell ref="L6:AG7"/>
    <mergeCell ref="E37:Q37"/>
    <mergeCell ref="R37:T37"/>
    <mergeCell ref="U37:Z37"/>
    <mergeCell ref="AA37:AD37"/>
    <mergeCell ref="AE37:AG37"/>
    <mergeCell ref="AE44:AG44"/>
    <mergeCell ref="E33:Q33"/>
    <mergeCell ref="R33:T33"/>
    <mergeCell ref="L63:U64"/>
    <mergeCell ref="U39:Z39"/>
    <mergeCell ref="AA39:AD39"/>
    <mergeCell ref="AE39:AG39"/>
    <mergeCell ref="E36:Q36"/>
    <mergeCell ref="AJ58:BM58"/>
    <mergeCell ref="AJ76:BM76"/>
    <mergeCell ref="J67:R67"/>
    <mergeCell ref="V67:AB67"/>
    <mergeCell ref="J68:R68"/>
    <mergeCell ref="E44:Q44"/>
    <mergeCell ref="R44:T44"/>
    <mergeCell ref="U44:Z44"/>
    <mergeCell ref="AA44:AD44"/>
    <mergeCell ref="J49:R49"/>
    <mergeCell ref="V49:AB49"/>
    <mergeCell ref="J50:R50"/>
    <mergeCell ref="J52:R52"/>
    <mergeCell ref="V52:AB52"/>
    <mergeCell ref="J53:R53"/>
    <mergeCell ref="J57:R57"/>
    <mergeCell ref="V57:AB57"/>
    <mergeCell ref="J58:R58"/>
    <mergeCell ref="AJ67:BM67"/>
    <mergeCell ref="J60:R60"/>
    <mergeCell ref="V60:AB60"/>
    <mergeCell ref="J61:R61"/>
    <mergeCell ref="E40:Q40"/>
    <mergeCell ref="R40:T40"/>
    <mergeCell ref="U40:Z40"/>
    <mergeCell ref="AA40:AD40"/>
    <mergeCell ref="AE40:AG40"/>
    <mergeCell ref="E41:Q41"/>
    <mergeCell ref="R41:T41"/>
    <mergeCell ref="U41:Z41"/>
    <mergeCell ref="AA41:AD41"/>
    <mergeCell ref="AE41:AG41"/>
    <mergeCell ref="U33:Z33"/>
    <mergeCell ref="AA33:AD33"/>
    <mergeCell ref="AE33:AG33"/>
    <mergeCell ref="E38:Q38"/>
    <mergeCell ref="R38:T38"/>
    <mergeCell ref="U38:Z38"/>
    <mergeCell ref="AA38:AD38"/>
    <mergeCell ref="AE38:AG38"/>
    <mergeCell ref="E34:Q34"/>
    <mergeCell ref="R34:T34"/>
    <mergeCell ref="U34:Z34"/>
    <mergeCell ref="AA34:AD34"/>
    <mergeCell ref="AE34:AG34"/>
    <mergeCell ref="E35:Q35"/>
    <mergeCell ref="R35:T35"/>
    <mergeCell ref="U35:Z35"/>
    <mergeCell ref="AA35:AD35"/>
    <mergeCell ref="AE35:AG35"/>
    <mergeCell ref="R36:T36"/>
    <mergeCell ref="U36:Z36"/>
    <mergeCell ref="AA36:AD36"/>
    <mergeCell ref="AE36:AG36"/>
    <mergeCell ref="E31:K31"/>
    <mergeCell ref="L31:Q31"/>
    <mergeCell ref="R31:T31"/>
    <mergeCell ref="U31:Z31"/>
    <mergeCell ref="AA31:AD31"/>
    <mergeCell ref="AE31:AG31"/>
    <mergeCell ref="E32:K32"/>
    <mergeCell ref="L32:Q32"/>
    <mergeCell ref="R32:T32"/>
    <mergeCell ref="U32:Z32"/>
    <mergeCell ref="AA32:AD32"/>
    <mergeCell ref="AE32:AG32"/>
    <mergeCell ref="E29:K29"/>
    <mergeCell ref="L29:Q29"/>
    <mergeCell ref="R29:T29"/>
    <mergeCell ref="U29:Z29"/>
    <mergeCell ref="AA29:AD29"/>
    <mergeCell ref="AE29:AG29"/>
    <mergeCell ref="E30:K30"/>
    <mergeCell ref="L30:Q30"/>
    <mergeCell ref="R30:T30"/>
    <mergeCell ref="U30:Z30"/>
    <mergeCell ref="AA30:AD30"/>
    <mergeCell ref="AE30:AG30"/>
    <mergeCell ref="U27:Z27"/>
    <mergeCell ref="AA27:AD27"/>
    <mergeCell ref="AE27:AG27"/>
    <mergeCell ref="E28:K28"/>
    <mergeCell ref="L28:Q28"/>
    <mergeCell ref="R28:T28"/>
    <mergeCell ref="U28:Z28"/>
    <mergeCell ref="AA28:AD28"/>
    <mergeCell ref="AE28:AG28"/>
    <mergeCell ref="E76:P76"/>
    <mergeCell ref="Q76:U76"/>
    <mergeCell ref="AC76:AG76"/>
    <mergeCell ref="D74:AH74"/>
    <mergeCell ref="E2:P2"/>
    <mergeCell ref="E71:P71"/>
    <mergeCell ref="E45:AG46"/>
    <mergeCell ref="AD4:AH4"/>
    <mergeCell ref="AA23:AG23"/>
    <mergeCell ref="AA24:AD24"/>
    <mergeCell ref="AE24:AG24"/>
    <mergeCell ref="H15:K15"/>
    <mergeCell ref="E25:Q25"/>
    <mergeCell ref="R25:T25"/>
    <mergeCell ref="U25:Z25"/>
    <mergeCell ref="AA25:AD25"/>
    <mergeCell ref="AE25:AG25"/>
    <mergeCell ref="E26:Q26"/>
    <mergeCell ref="R26:T26"/>
    <mergeCell ref="U26:Z26"/>
    <mergeCell ref="AA26:AD26"/>
    <mergeCell ref="AE26:AG26"/>
    <mergeCell ref="E27:Q27"/>
    <mergeCell ref="R27:T27"/>
  </mergeCells>
  <conditionalFormatting sqref="R22 H22:M22">
    <cfRule type="cellIs" dxfId="81" priority="88" operator="equal">
      <formula>"Re-Evaluation of Existing Trade Waste Pre-Treatment Product"</formula>
    </cfRule>
    <cfRule type="cellIs" dxfId="80" priority="89" operator="equal">
      <formula>"New Trade Waste Pre-Treatment Product Evaluation"</formula>
    </cfRule>
  </conditionalFormatting>
  <conditionalFormatting sqref="S22">
    <cfRule type="cellIs" dxfId="79" priority="86" operator="equal">
      <formula>"Re-Evaluation of Existing Trade Waste Pre-Treatment Product"</formula>
    </cfRule>
    <cfRule type="cellIs" dxfId="78" priority="87" operator="equal">
      <formula>"New Trade Waste Pre-Treatment Product Evaluation"</formula>
    </cfRule>
  </conditionalFormatting>
  <conditionalFormatting sqref="AA25:AD25">
    <cfRule type="expression" dxfId="77" priority="80">
      <formula>$E$25=""</formula>
    </cfRule>
    <cfRule type="cellIs" dxfId="76" priority="81" stopIfTrue="1" operator="notEqual">
      <formula>"&lt; enter here &gt;"</formula>
    </cfRule>
    <cfRule type="expression" dxfId="75" priority="85">
      <formula>$E$25&lt;&gt;""</formula>
    </cfRule>
  </conditionalFormatting>
  <conditionalFormatting sqref="AD4:AH4">
    <cfRule type="expression" dxfId="74" priority="79">
      <formula>$AD$4="&lt; enter date &gt;"</formula>
    </cfRule>
  </conditionalFormatting>
  <conditionalFormatting sqref="AD4">
    <cfRule type="expression" dxfId="73" priority="75">
      <formula>$AD$4="&lt; enter date &gt;"</formula>
    </cfRule>
  </conditionalFormatting>
  <conditionalFormatting sqref="J50:R50">
    <cfRule type="cellIs" dxfId="72" priority="51" operator="equal">
      <formula>"enter position title here"</formula>
    </cfRule>
    <cfRule type="cellIs" dxfId="71" priority="53" operator="equal">
      <formula>"enter position title here"</formula>
    </cfRule>
  </conditionalFormatting>
  <conditionalFormatting sqref="V49:AB49">
    <cfRule type="cellIs" dxfId="70" priority="52" operator="equal">
      <formula>"enter here"</formula>
    </cfRule>
  </conditionalFormatting>
  <conditionalFormatting sqref="J49:R49">
    <cfRule type="cellIs" dxfId="69" priority="50" operator="equal">
      <formula>"enter here"</formula>
    </cfRule>
  </conditionalFormatting>
  <conditionalFormatting sqref="J53:R53">
    <cfRule type="cellIs" dxfId="68" priority="47" operator="equal">
      <formula>"enter position title here"</formula>
    </cfRule>
    <cfRule type="cellIs" dxfId="67" priority="49" operator="equal">
      <formula>"enter position title here"</formula>
    </cfRule>
  </conditionalFormatting>
  <conditionalFormatting sqref="V52:AB52">
    <cfRule type="cellIs" dxfId="66" priority="48" operator="equal">
      <formula>"enter here"</formula>
    </cfRule>
  </conditionalFormatting>
  <conditionalFormatting sqref="J52:R52">
    <cfRule type="cellIs" dxfId="65" priority="46" operator="equal">
      <formula>"enter here"</formula>
    </cfRule>
  </conditionalFormatting>
  <conditionalFormatting sqref="J58:R58">
    <cfRule type="cellIs" dxfId="64" priority="43" operator="equal">
      <formula>"enter position title here"</formula>
    </cfRule>
    <cfRule type="cellIs" dxfId="63" priority="45" operator="equal">
      <formula>"enter position title here"</formula>
    </cfRule>
  </conditionalFormatting>
  <conditionalFormatting sqref="V57:AB57">
    <cfRule type="cellIs" dxfId="62" priority="44" operator="equal">
      <formula>"enter here"</formula>
    </cfRule>
  </conditionalFormatting>
  <conditionalFormatting sqref="J57:R57">
    <cfRule type="cellIs" dxfId="61" priority="42" operator="equal">
      <formula>"enter here"</formula>
    </cfRule>
  </conditionalFormatting>
  <conditionalFormatting sqref="J61:R61">
    <cfRule type="cellIs" dxfId="60" priority="39" operator="equal">
      <formula>"enter position title here"</formula>
    </cfRule>
    <cfRule type="cellIs" dxfId="59" priority="41" operator="equal">
      <formula>"enter position title here"</formula>
    </cfRule>
  </conditionalFormatting>
  <conditionalFormatting sqref="V60:AB60">
    <cfRule type="cellIs" dxfId="58" priority="40" operator="equal">
      <formula>"enter here"</formula>
    </cfRule>
  </conditionalFormatting>
  <conditionalFormatting sqref="J60:R60">
    <cfRule type="cellIs" dxfId="57" priority="38" operator="equal">
      <formula>"enter here"</formula>
    </cfRule>
  </conditionalFormatting>
  <conditionalFormatting sqref="J68:R69">
    <cfRule type="cellIs" dxfId="56" priority="35" operator="equal">
      <formula>"enter position title here"</formula>
    </cfRule>
    <cfRule type="cellIs" dxfId="55" priority="37" operator="equal">
      <formula>"enter position title here"</formula>
    </cfRule>
  </conditionalFormatting>
  <conditionalFormatting sqref="V67:AB67">
    <cfRule type="cellIs" dxfId="54" priority="36" operator="equal">
      <formula>"enter here"</formula>
    </cfRule>
  </conditionalFormatting>
  <conditionalFormatting sqref="J67:R67">
    <cfRule type="cellIs" dxfId="53" priority="34" operator="equal">
      <formula>"enter here"</formula>
    </cfRule>
  </conditionalFormatting>
  <conditionalFormatting sqref="AJ49">
    <cfRule type="expression" dxfId="52" priority="30">
      <formula>"IF($V$53&lt;&gt;""enter here"""</formula>
    </cfRule>
    <cfRule type="expression" dxfId="51" priority="33">
      <formula>$V$49&lt;&gt;"enter here"</formula>
    </cfRule>
  </conditionalFormatting>
  <conditionalFormatting sqref="AJ50">
    <cfRule type="expression" dxfId="50" priority="28">
      <formula>"IF($V$53&lt;&gt;""enter here"""</formula>
    </cfRule>
    <cfRule type="expression" dxfId="49" priority="29">
      <formula>$V$49&lt;&gt;"enter here"</formula>
    </cfRule>
  </conditionalFormatting>
  <conditionalFormatting sqref="AJ52:BM53">
    <cfRule type="expression" dxfId="48" priority="25">
      <formula>$V$52&lt;&gt;"enter here"</formula>
    </cfRule>
  </conditionalFormatting>
  <conditionalFormatting sqref="AJ57:BM58">
    <cfRule type="expression" dxfId="47" priority="21">
      <formula>$V$57&lt;&gt;"enter here"</formula>
    </cfRule>
  </conditionalFormatting>
  <conditionalFormatting sqref="AJ67:BM67">
    <cfRule type="expression" dxfId="46" priority="17">
      <formula>$V$67&lt;&gt;"enter here"</formula>
    </cfRule>
  </conditionalFormatting>
  <conditionalFormatting sqref="AJ6:BM7">
    <cfRule type="cellIs" dxfId="45" priority="16" operator="equal">
      <formula>"Check 3. Billing details information from 2. Application Tab."</formula>
    </cfRule>
  </conditionalFormatting>
  <conditionalFormatting sqref="AJ12:BM12">
    <cfRule type="cellIs" dxfId="44" priority="13" operator="equal">
      <formula>"Check 3. Billing details information from 2. Application Tab."</formula>
    </cfRule>
  </conditionalFormatting>
  <conditionalFormatting sqref="AJ9:BM9">
    <cfRule type="cellIs" dxfId="43" priority="10" operator="equal">
      <formula>"Check 3. Billing details information from 2. Application Tab."</formula>
    </cfRule>
  </conditionalFormatting>
  <conditionalFormatting sqref="AC76:AG76">
    <cfRule type="expression" dxfId="42" priority="9">
      <formula>$AC$76="enter here"</formula>
    </cfRule>
  </conditionalFormatting>
  <conditionalFormatting sqref="AJ76:BM76">
    <cfRule type="expression" dxfId="41" priority="8">
      <formula>OR($AC$76="",$AC$76&lt;&gt;"enter here")</formula>
    </cfRule>
  </conditionalFormatting>
  <conditionalFormatting sqref="L63:U64">
    <cfRule type="cellIs" dxfId="40" priority="6" operator="equal">
      <formula>"enter here"</formula>
    </cfRule>
  </conditionalFormatting>
  <conditionalFormatting sqref="AO21">
    <cfRule type="expression" dxfId="39" priority="5">
      <formula>LEN($AO$21)&lt;=61</formula>
    </cfRule>
  </conditionalFormatting>
  <conditionalFormatting sqref="AO24:CB25">
    <cfRule type="expression" dxfId="38" priority="4">
      <formula>LEN($AO$21)&gt;61</formula>
    </cfRule>
  </conditionalFormatting>
  <conditionalFormatting sqref="L6:AG7">
    <cfRule type="expression" dxfId="37" priority="1">
      <formula>LEN($AO$21)&gt;61</formula>
    </cfRule>
  </conditionalFormatting>
  <hyperlinks>
    <hyperlink ref="E2:P2" location="'5. Review'!A1" display="Click here to return back to the Review Sheet." xr:uid="{00000000-0004-0000-0500-000000000000}"/>
    <hyperlink ref="E71:P71" location="'Review Sheet'!H270" display="Click here to return back to the Review Sheet." xr:uid="{00000000-0004-0000-0500-000001000000}"/>
    <hyperlink ref="AJ50:BM50" r:id="rId1" display="https://nexus.watercorporation.com.au/otcs/cs.exe/link/97346990" xr:uid="{00000000-0004-0000-0500-000003000000}"/>
    <hyperlink ref="AJ53" r:id="rId2" display="mailto:Debbie.Monkhouse@watercorporation.com.au" xr:uid="{00000000-0004-0000-0500-000004000000}"/>
    <hyperlink ref="AJ58" r:id="rId3" display="mailto:Debbie.Monkhouse@watercorporation.com.au" xr:uid="{00000000-0004-0000-0500-000005000000}"/>
    <hyperlink ref="AJ58:BM58" r:id="rId4" display="mailto:stephen.jerkovic@watercorporation.com.au" xr:uid="{00000000-0004-0000-0500-000006000000}"/>
    <hyperlink ref="Q76" r:id="rId5" display="Trade Waste - Product Appraisals - New or Updated Approval Certificate notification to whole C&amp;IS Section - (TEMPLATE).msg (https://nexus.watercorporation.com.au/otcs/cs.exe/link/81537484)" xr:uid="{ED033288-DF7B-4385-8285-9EF72C43A134}"/>
  </hyperlinks>
  <pageMargins left="0.7" right="0.7" top="0.75" bottom="0.75" header="0.18913043478260869" footer="0.3"/>
  <pageSetup paperSize="9" scale="66" orientation="portrait" r:id="rId6"/>
  <headerFooter>
    <oddHeader>&amp;L&amp;G&amp;C&amp;"-,Bold"&amp;18OPERATIONS GROUP&amp;11
&amp;"-,Bold Italic"&amp;14Request to Raise Revenue</oddHeader>
    <oddFooter>&amp;L&amp;8&amp;F&amp;A</oddFooter>
  </headerFooter>
  <legacyDrawingHF r:id="rId7"/>
  <extLst>
    <ext xmlns:x14="http://schemas.microsoft.com/office/spreadsheetml/2009/9/main" uri="{78C0D931-6437-407d-A8EE-F0AAD7539E65}">
      <x14:conditionalFormattings>
        <x14:conditionalFormatting xmlns:xm="http://schemas.microsoft.com/office/excel/2006/main">
          <x14:cfRule type="expression" priority="1574" id="{433E2C75-CBD7-48D7-A307-716E8836C5CD}">
            <xm:f>OR('5. Review'!$G$246="rejected",'5. Review'!$G$554="rejected")</xm:f>
            <x14:dxf>
              <fill>
                <patternFill>
                  <bgColor theme="0" tint="-0.34998626667073579"/>
                </patternFill>
              </fill>
              <border>
                <left style="thin">
                  <color theme="0" tint="-0.34998626667073579"/>
                </left>
                <right style="thin">
                  <color theme="0" tint="-0.34998626667073579"/>
                </right>
                <top style="thin">
                  <color theme="0" tint="-0.34998626667073579"/>
                </top>
                <bottom style="thin">
                  <color theme="0" tint="-0.34998626667073579"/>
                </bottom>
              </border>
            </x14:dxf>
          </x14:cfRule>
          <xm:sqref>D73:AH77</xm:sqref>
        </x14:conditionalFormatting>
        <x14:conditionalFormatting xmlns:xm="http://schemas.microsoft.com/office/excel/2006/main">
          <x14:cfRule type="expression" priority="3" id="{9ECAC1A5-5EE8-459A-9D86-BE2F5B362F0C}">
            <xm:f>LEN("PRODUCT APPRAISAL: "&amp;'2. Application'!$E$17)&gt;61</xm:f>
            <x14:dxf>
              <fill>
                <patternFill>
                  <bgColor theme="0"/>
                </patternFill>
              </fill>
            </x14:dxf>
          </x14:cfRule>
          <xm:sqref>AN14:CC26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D2:BK54"/>
  <sheetViews>
    <sheetView view="pageBreakPreview" zoomScale="115" zoomScaleNormal="100" zoomScaleSheetLayoutView="115" workbookViewId="0">
      <selection activeCell="B53" activeCellId="1" sqref="A34:AK60 B52:BM69"/>
    </sheetView>
  </sheetViews>
  <sheetFormatPr defaultColWidth="3.5703125" defaultRowHeight="13.5" customHeight="1"/>
  <cols>
    <col min="4" max="4" width="2.5703125" customWidth="1"/>
    <col min="5" max="5" width="3.7109375" customWidth="1"/>
    <col min="25" max="25" width="17.42578125" customWidth="1"/>
    <col min="28" max="28" width="3.7109375" customWidth="1"/>
    <col min="44" max="44" width="12.5703125" bestFit="1" customWidth="1"/>
  </cols>
  <sheetData>
    <row r="2" spans="4:60" ht="13.5" customHeight="1">
      <c r="D2" s="63"/>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5"/>
    </row>
    <row r="3" spans="4:60" s="9" customFormat="1" ht="13.5" customHeight="1">
      <c r="D3" s="70"/>
      <c r="E3" s="230"/>
      <c r="F3" s="665" t="s">
        <v>311</v>
      </c>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53"/>
      <c r="AL3" s="66"/>
    </row>
    <row r="4" spans="4:60" s="9" customFormat="1" ht="13.5" customHeight="1">
      <c r="D4" s="70"/>
      <c r="E4" s="54"/>
      <c r="F4" s="52"/>
      <c r="G4" s="52"/>
      <c r="H4" s="52"/>
      <c r="I4" s="52"/>
      <c r="J4" s="52"/>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66"/>
    </row>
    <row r="5" spans="4:60" s="9" customFormat="1" ht="13.5" customHeight="1">
      <c r="D5" s="70"/>
      <c r="E5" s="639" t="str">
        <f>IF('5. Review'!G291="&lt; enter duration period (years) from certificate &gt;","","This approval is due to expire on "&amp;TEXT('5. Review'!G292,"dd mmm yyyy")&amp;" and so the first T = - 3 month expiry notification e-mail should be sent out as a reminder some time after "&amp;TEXT('5. Review'!G292-90,"dd mmm yyyy")&amp;".")</f>
        <v/>
      </c>
      <c r="F5" s="731"/>
      <c r="G5" s="731"/>
      <c r="H5" s="731"/>
      <c r="I5" s="731"/>
      <c r="J5" s="731"/>
      <c r="K5" s="731"/>
      <c r="L5" s="731"/>
      <c r="M5" s="731"/>
      <c r="N5" s="731"/>
      <c r="O5" s="731"/>
      <c r="P5" s="731"/>
      <c r="Q5" s="731"/>
      <c r="R5" s="731"/>
      <c r="S5" s="731"/>
      <c r="T5" s="731"/>
      <c r="U5" s="731"/>
      <c r="V5" s="731"/>
      <c r="W5" s="731"/>
      <c r="X5" s="731"/>
      <c r="Y5" s="731"/>
      <c r="Z5" s="731"/>
      <c r="AA5" s="731"/>
      <c r="AB5" s="731"/>
      <c r="AC5" s="731"/>
      <c r="AD5" s="731"/>
      <c r="AE5" s="731"/>
      <c r="AF5" s="731"/>
      <c r="AG5" s="731"/>
      <c r="AH5" s="731"/>
      <c r="AI5" s="731"/>
      <c r="AJ5" s="731"/>
      <c r="AK5" s="731"/>
      <c r="AL5" s="732"/>
      <c r="AN5" s="654"/>
      <c r="AO5" s="397"/>
      <c r="AP5" s="397"/>
      <c r="AQ5" s="397"/>
      <c r="AR5" s="397"/>
      <c r="AS5" s="397"/>
      <c r="AT5" s="397"/>
      <c r="AU5" s="397"/>
      <c r="AV5" s="397"/>
      <c r="AW5" s="397"/>
      <c r="AX5" s="397"/>
      <c r="AY5" s="397"/>
      <c r="AZ5" s="397"/>
      <c r="BA5" s="397"/>
      <c r="BB5" s="397"/>
      <c r="BC5" s="397"/>
      <c r="BD5" s="397"/>
      <c r="BE5" s="397"/>
      <c r="BF5" s="397"/>
      <c r="BG5" s="397"/>
      <c r="BH5" s="397"/>
    </row>
    <row r="6" spans="4:60" s="9" customFormat="1" ht="13.5" customHeight="1">
      <c r="D6" s="70"/>
      <c r="E6" s="639" t="str">
        <f>IF('5. Review'!G600="&lt; enter duration period (years) from certificate &gt;","","This approval is due to expire on "&amp;TEXT('5. Review'!G601,"dd mmm yyyy")&amp;" and so the first T = - 3 month expiry notification e-mail should be sent out as a reminder some time after "&amp;TEXT('5. Review'!G601-90,"dd mmm yyyy")&amp;".")</f>
        <v/>
      </c>
      <c r="F6" s="731"/>
      <c r="G6" s="731"/>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2"/>
      <c r="AN6" s="397"/>
      <c r="AO6" s="397"/>
      <c r="AP6" s="397"/>
      <c r="AQ6" s="397"/>
      <c r="AR6" s="397"/>
      <c r="AS6" s="397"/>
      <c r="AT6" s="397"/>
      <c r="AU6" s="397"/>
      <c r="AV6" s="397"/>
      <c r="AW6" s="397"/>
      <c r="AX6" s="397"/>
      <c r="AY6" s="397"/>
      <c r="AZ6" s="397"/>
      <c r="BA6" s="397"/>
      <c r="BB6" s="397"/>
      <c r="BC6" s="397"/>
      <c r="BD6" s="397"/>
      <c r="BE6" s="397"/>
      <c r="BF6" s="397"/>
      <c r="BG6" s="397"/>
      <c r="BH6" s="397"/>
    </row>
    <row r="7" spans="4:60" s="9" customFormat="1" ht="13.5" customHeight="1">
      <c r="D7" s="70"/>
      <c r="E7" s="231"/>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53"/>
      <c r="AL7" s="66"/>
      <c r="AN7" s="397"/>
      <c r="AO7" s="397"/>
      <c r="AP7" s="397"/>
      <c r="AQ7" s="397"/>
      <c r="AR7" s="397"/>
      <c r="AS7" s="397"/>
      <c r="AT7" s="397"/>
      <c r="AU7" s="397"/>
      <c r="AV7" s="397"/>
      <c r="AW7" s="397"/>
      <c r="AX7" s="397"/>
      <c r="AY7" s="397"/>
      <c r="AZ7" s="397"/>
      <c r="BA7" s="397"/>
      <c r="BB7" s="397"/>
      <c r="BC7" s="397"/>
      <c r="BD7" s="397"/>
      <c r="BE7" s="397"/>
      <c r="BF7" s="397"/>
      <c r="BG7" s="397"/>
      <c r="BH7" s="397"/>
    </row>
    <row r="8" spans="4:60" s="9" customFormat="1" ht="13.5" customHeight="1">
      <c r="D8" s="70"/>
      <c r="E8" s="635" t="str">
        <f ca="1">IF('5. Review'!G291="&lt; enter duration period (years) from certificate &gt;","",IF('5. Review'!G292-TODAY()&lt;90,"If not already then send out the below e-mail now, unless the customer has recently sent in a re-application form.",""))</f>
        <v/>
      </c>
      <c r="F8" s="636"/>
      <c r="G8" s="636"/>
      <c r="H8" s="636"/>
      <c r="I8" s="636"/>
      <c r="J8" s="636"/>
      <c r="K8" s="636"/>
      <c r="L8" s="636"/>
      <c r="M8" s="636"/>
      <c r="N8" s="636"/>
      <c r="O8" s="636"/>
      <c r="P8" s="636"/>
      <c r="Q8" s="636"/>
      <c r="R8" s="636"/>
      <c r="S8" s="636"/>
      <c r="T8" s="636"/>
      <c r="U8" s="636"/>
      <c r="V8" s="636"/>
      <c r="W8" s="636"/>
      <c r="X8" s="636"/>
      <c r="Y8" s="636"/>
      <c r="Z8" s="636"/>
      <c r="AA8" s="636"/>
      <c r="AB8" s="636"/>
      <c r="AC8" s="636"/>
      <c r="AD8" s="636"/>
      <c r="AE8" s="636"/>
      <c r="AF8" s="636"/>
      <c r="AG8" s="636"/>
      <c r="AH8" s="636"/>
      <c r="AI8" s="636"/>
      <c r="AJ8" s="636"/>
      <c r="AK8" s="637"/>
      <c r="AL8" s="638"/>
      <c r="AN8" s="397"/>
      <c r="AO8" s="397"/>
      <c r="AP8" s="397"/>
      <c r="AQ8" s="397"/>
      <c r="AR8" s="397"/>
      <c r="AS8" s="397"/>
      <c r="AT8" s="397"/>
      <c r="AU8" s="397"/>
      <c r="AV8" s="397"/>
      <c r="AW8" s="397"/>
      <c r="AX8" s="397"/>
      <c r="AY8" s="397"/>
      <c r="AZ8" s="397"/>
      <c r="BA8" s="397"/>
      <c r="BB8" s="397"/>
      <c r="BC8" s="397"/>
      <c r="BD8" s="397"/>
      <c r="BE8" s="397"/>
      <c r="BF8" s="397"/>
      <c r="BG8" s="397"/>
      <c r="BH8" s="397"/>
    </row>
    <row r="9" spans="4:60" s="9" customFormat="1" ht="13.5" customHeight="1">
      <c r="D9" s="70"/>
      <c r="E9" s="635" t="str">
        <f ca="1">IF('5. Review'!G600="&lt; enter duration period (years) from certificate &gt;","",IF('5. Review'!G601-TODAY()&lt;90,"If not already then send out the below e-mail now, unless the customer has recently sent in a re-application form.",""))</f>
        <v/>
      </c>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7"/>
      <c r="AL9" s="638"/>
      <c r="AN9" s="397"/>
      <c r="AO9" s="397"/>
      <c r="AP9" s="397"/>
      <c r="AQ9" s="397"/>
      <c r="AR9" s="397"/>
      <c r="AS9" s="397"/>
      <c r="AT9" s="397"/>
      <c r="AU9" s="397"/>
      <c r="AV9" s="397"/>
      <c r="AW9" s="397"/>
      <c r="AX9" s="397"/>
      <c r="AY9" s="397"/>
      <c r="AZ9" s="397"/>
      <c r="BA9" s="397"/>
      <c r="BB9" s="397"/>
      <c r="BC9" s="397"/>
      <c r="BD9" s="397"/>
      <c r="BE9" s="397"/>
      <c r="BF9" s="397"/>
      <c r="BG9" s="397"/>
      <c r="BH9" s="397"/>
    </row>
    <row r="10" spans="4:60" s="9" customFormat="1" ht="13.5" customHeight="1">
      <c r="D10" s="70"/>
      <c r="E10" s="232"/>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224"/>
      <c r="AL10" s="67"/>
      <c r="AN10" s="397"/>
      <c r="AO10" s="397"/>
      <c r="AP10" s="397"/>
      <c r="AQ10" s="397"/>
      <c r="AR10" s="397"/>
      <c r="AS10" s="397"/>
      <c r="AT10" s="397"/>
      <c r="AU10" s="397"/>
      <c r="AV10" s="397"/>
      <c r="AW10" s="397"/>
      <c r="AX10" s="397"/>
      <c r="AY10" s="397"/>
      <c r="AZ10" s="397"/>
      <c r="BA10" s="397"/>
      <c r="BB10" s="397"/>
      <c r="BC10" s="397"/>
      <c r="BD10" s="397"/>
      <c r="BE10" s="397"/>
      <c r="BF10" s="397"/>
      <c r="BG10" s="397"/>
      <c r="BH10" s="397"/>
    </row>
    <row r="11" spans="4:60" s="9" customFormat="1" ht="13.5" customHeight="1">
      <c r="D11" s="70"/>
      <c r="E11" s="232"/>
      <c r="F11" s="646" t="s">
        <v>312</v>
      </c>
      <c r="G11" s="641"/>
      <c r="H11" s="641"/>
      <c r="I11" s="641"/>
      <c r="J11" s="641"/>
      <c r="K11" s="641"/>
      <c r="L11" s="641"/>
      <c r="M11" s="641"/>
      <c r="N11" s="641"/>
      <c r="O11" s="641"/>
      <c r="P11" s="641"/>
      <c r="Q11" s="641"/>
      <c r="R11" s="641"/>
      <c r="S11" s="641"/>
      <c r="T11" s="641"/>
      <c r="U11" s="641"/>
      <c r="V11" s="641"/>
      <c r="W11" s="641"/>
      <c r="X11" s="641"/>
      <c r="Y11" s="641"/>
      <c r="Z11" s="641"/>
      <c r="AA11" s="641"/>
      <c r="AB11" s="641"/>
      <c r="AC11" s="653" t="s">
        <v>313</v>
      </c>
      <c r="AD11" s="653"/>
      <c r="AE11" s="653"/>
      <c r="AF11" s="653"/>
      <c r="AG11" s="653"/>
      <c r="AH11" s="653"/>
      <c r="AI11" s="653"/>
      <c r="AJ11" s="653"/>
      <c r="AK11" s="653"/>
      <c r="AL11" s="68"/>
      <c r="AM11" s="51"/>
      <c r="AN11" s="51"/>
    </row>
    <row r="12" spans="4:60" s="9" customFormat="1" ht="13.5" customHeight="1">
      <c r="D12" s="70"/>
      <c r="E12" s="232"/>
      <c r="F12" s="646" t="s">
        <v>314</v>
      </c>
      <c r="G12" s="641"/>
      <c r="H12" s="641"/>
      <c r="I12" s="641"/>
      <c r="J12" s="641"/>
      <c r="K12" s="641"/>
      <c r="L12" s="641"/>
      <c r="M12" s="641"/>
      <c r="N12" s="641"/>
      <c r="O12" s="641"/>
      <c r="P12" s="641"/>
      <c r="Q12" s="641"/>
      <c r="R12" s="641"/>
      <c r="S12" s="641"/>
      <c r="T12" s="641"/>
      <c r="U12" s="641"/>
      <c r="V12" s="641"/>
      <c r="W12" s="641"/>
      <c r="X12" s="641"/>
      <c r="Y12" s="641"/>
      <c r="Z12" s="641"/>
      <c r="AA12" s="641"/>
      <c r="AB12" s="641"/>
      <c r="AC12" s="647" t="s">
        <v>315</v>
      </c>
      <c r="AD12" s="648"/>
      <c r="AE12" s="648"/>
      <c r="AF12" s="648"/>
      <c r="AG12" s="648"/>
      <c r="AH12" s="648"/>
      <c r="AI12" s="648"/>
      <c r="AJ12" s="648"/>
      <c r="AK12" s="648"/>
      <c r="AL12" s="68"/>
      <c r="AM12" s="51"/>
      <c r="AN12" s="51"/>
    </row>
    <row r="13" spans="4:60" s="9" customFormat="1" ht="14.45">
      <c r="D13" s="70"/>
      <c r="E13" s="232"/>
      <c r="F13" s="640" t="s">
        <v>316</v>
      </c>
      <c r="G13" s="652"/>
      <c r="H13" s="652"/>
      <c r="I13" s="652"/>
      <c r="J13" s="652"/>
      <c r="K13" s="652"/>
      <c r="L13" s="652"/>
      <c r="M13" s="652"/>
      <c r="N13" s="652"/>
      <c r="O13" s="652"/>
      <c r="P13" s="652"/>
      <c r="Q13" s="652"/>
      <c r="R13" s="652"/>
      <c r="S13" s="652"/>
      <c r="T13" s="652"/>
      <c r="U13" s="652"/>
      <c r="V13" s="652"/>
      <c r="W13" s="652"/>
      <c r="X13" s="652"/>
      <c r="Y13" s="652"/>
      <c r="Z13" s="652"/>
      <c r="AA13" s="652"/>
      <c r="AB13" s="652"/>
      <c r="AC13" s="653" t="s">
        <v>317</v>
      </c>
      <c r="AD13" s="653"/>
      <c r="AE13" s="653"/>
      <c r="AF13" s="653"/>
      <c r="AG13" s="653"/>
      <c r="AH13" s="653"/>
      <c r="AI13" s="653"/>
      <c r="AJ13" s="653"/>
      <c r="AK13" s="653"/>
      <c r="AL13" s="68"/>
      <c r="AM13" s="51"/>
      <c r="AN13" s="51"/>
    </row>
    <row r="14" spans="4:60" s="9" customFormat="1" ht="14.45">
      <c r="D14" s="70"/>
      <c r="E14" s="232"/>
      <c r="F14" s="640" t="s">
        <v>318</v>
      </c>
      <c r="G14" s="641"/>
      <c r="H14" s="641"/>
      <c r="I14" s="641"/>
      <c r="J14" s="641"/>
      <c r="K14" s="641"/>
      <c r="L14" s="641"/>
      <c r="M14" s="641"/>
      <c r="N14" s="641"/>
      <c r="O14" s="641"/>
      <c r="P14" s="641"/>
      <c r="Q14" s="641"/>
      <c r="R14" s="641"/>
      <c r="S14" s="641"/>
      <c r="T14" s="641"/>
      <c r="U14" s="641"/>
      <c r="V14" s="641"/>
      <c r="W14" s="641"/>
      <c r="X14" s="641"/>
      <c r="Y14" s="641"/>
      <c r="Z14" s="641"/>
      <c r="AA14" s="641"/>
      <c r="AB14" s="641"/>
      <c r="AC14" s="642" t="s">
        <v>97</v>
      </c>
      <c r="AD14" s="643"/>
      <c r="AE14" s="643"/>
      <c r="AF14" s="643"/>
      <c r="AG14" s="643"/>
      <c r="AH14" s="643"/>
      <c r="AI14" s="643"/>
      <c r="AJ14" s="643"/>
      <c r="AK14" s="643"/>
      <c r="AL14" s="69"/>
      <c r="AM14" s="50"/>
      <c r="AN14" s="50"/>
    </row>
    <row r="15" spans="4:60" s="9" customFormat="1" ht="13.5" customHeight="1">
      <c r="D15" s="70"/>
      <c r="E15" s="233"/>
      <c r="F15" s="228"/>
      <c r="G15" s="228"/>
      <c r="H15" s="228"/>
      <c r="I15" s="228"/>
      <c r="J15" s="228"/>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66"/>
    </row>
    <row r="16" spans="4:60" s="9" customFormat="1" ht="13.5" customHeight="1">
      <c r="D16" s="70"/>
      <c r="E16" s="53"/>
      <c r="F16" s="646" t="s">
        <v>319</v>
      </c>
      <c r="G16" s="641"/>
      <c r="H16" s="641"/>
      <c r="I16" s="641"/>
      <c r="J16" s="641"/>
      <c r="K16" s="641"/>
      <c r="L16" s="641"/>
      <c r="M16" s="641"/>
      <c r="N16" s="641"/>
      <c r="O16" s="641"/>
      <c r="P16" s="641"/>
      <c r="Q16" s="641"/>
      <c r="R16" s="641"/>
      <c r="S16" s="641"/>
      <c r="T16" s="641"/>
      <c r="U16" s="641"/>
      <c r="V16" s="641"/>
      <c r="W16" s="641"/>
      <c r="X16" s="641"/>
      <c r="Y16" s="641"/>
      <c r="Z16" s="653">
        <v>62006407</v>
      </c>
      <c r="AA16" s="653"/>
      <c r="AB16" s="653"/>
      <c r="AC16" s="653"/>
      <c r="AD16" s="653"/>
      <c r="AE16" s="653"/>
      <c r="AF16" s="653"/>
      <c r="AG16" s="653"/>
      <c r="AH16" s="653"/>
      <c r="AI16" s="653"/>
      <c r="AJ16" s="653"/>
      <c r="AK16" s="653"/>
      <c r="AL16" s="66"/>
    </row>
    <row r="17" spans="4:63" s="9" customFormat="1" ht="13.5" customHeight="1">
      <c r="D17" s="70"/>
      <c r="E17" s="232"/>
      <c r="F17" s="646" t="s">
        <v>320</v>
      </c>
      <c r="G17" s="641"/>
      <c r="H17" s="641"/>
      <c r="I17" s="641"/>
      <c r="J17" s="641"/>
      <c r="K17" s="641"/>
      <c r="L17" s="641"/>
      <c r="M17" s="641"/>
      <c r="N17" s="641"/>
      <c r="O17" s="641"/>
      <c r="P17" s="641"/>
      <c r="Q17" s="641"/>
      <c r="R17" s="641"/>
      <c r="S17" s="641"/>
      <c r="T17" s="641"/>
      <c r="U17" s="641"/>
      <c r="V17" s="641"/>
      <c r="W17" s="641"/>
      <c r="X17" s="641"/>
      <c r="Y17" s="641"/>
      <c r="Z17" s="641"/>
      <c r="AA17" s="641"/>
      <c r="AB17" s="641"/>
      <c r="AC17" s="647" t="s">
        <v>321</v>
      </c>
      <c r="AD17" s="648"/>
      <c r="AE17" s="648"/>
      <c r="AF17" s="648"/>
      <c r="AG17" s="648"/>
      <c r="AH17" s="648"/>
      <c r="AI17" s="648"/>
      <c r="AJ17" s="648"/>
      <c r="AK17" s="648"/>
      <c r="AL17" s="68"/>
      <c r="AM17" s="51"/>
      <c r="AN17" s="51"/>
    </row>
    <row r="18" spans="4:63" s="9" customFormat="1" ht="13.5" customHeight="1">
      <c r="D18" s="70"/>
      <c r="E18" s="53"/>
      <c r="F18" s="640" t="s">
        <v>322</v>
      </c>
      <c r="G18" s="641"/>
      <c r="H18" s="641"/>
      <c r="I18" s="641"/>
      <c r="J18" s="641"/>
      <c r="K18" s="641"/>
      <c r="L18" s="641"/>
      <c r="M18" s="641"/>
      <c r="N18" s="641"/>
      <c r="O18" s="641"/>
      <c r="P18" s="641"/>
      <c r="Q18" s="641"/>
      <c r="R18" s="641"/>
      <c r="S18" s="641"/>
      <c r="T18" s="641"/>
      <c r="U18" s="641"/>
      <c r="V18" s="641"/>
      <c r="W18" s="641"/>
      <c r="X18" s="641"/>
      <c r="Y18" s="641"/>
      <c r="Z18" s="644" t="s">
        <v>323</v>
      </c>
      <c r="AA18" s="645"/>
      <c r="AB18" s="645"/>
      <c r="AC18" s="645"/>
      <c r="AD18" s="645"/>
      <c r="AE18" s="645"/>
      <c r="AF18" s="645"/>
      <c r="AG18" s="645"/>
      <c r="AH18" s="645"/>
      <c r="AI18" s="645"/>
      <c r="AJ18" s="645"/>
      <c r="AK18" s="645"/>
      <c r="AL18" s="66"/>
      <c r="AN18" s="48" t="s">
        <v>324</v>
      </c>
    </row>
    <row r="19" spans="4:63" s="9" customFormat="1" ht="13.5" customHeight="1">
      <c r="D19" s="70"/>
      <c r="E19" s="53"/>
      <c r="F19" s="640" t="s">
        <v>325</v>
      </c>
      <c r="G19" s="641"/>
      <c r="H19" s="641"/>
      <c r="I19" s="641"/>
      <c r="J19" s="641"/>
      <c r="K19" s="641"/>
      <c r="L19" s="641"/>
      <c r="M19" s="641"/>
      <c r="N19" s="641"/>
      <c r="O19" s="641"/>
      <c r="P19" s="641"/>
      <c r="Q19" s="641"/>
      <c r="R19" s="641"/>
      <c r="S19" s="641"/>
      <c r="T19" s="641"/>
      <c r="U19" s="641"/>
      <c r="V19" s="641"/>
      <c r="W19" s="641"/>
      <c r="X19" s="641"/>
      <c r="Y19" s="641"/>
      <c r="Z19" s="644" t="s">
        <v>97</v>
      </c>
      <c r="AA19" s="645"/>
      <c r="AB19" s="645"/>
      <c r="AC19" s="645"/>
      <c r="AD19" s="645"/>
      <c r="AE19" s="645"/>
      <c r="AF19" s="645"/>
      <c r="AG19" s="645"/>
      <c r="AH19" s="645"/>
      <c r="AI19" s="645"/>
      <c r="AJ19" s="645"/>
      <c r="AK19" s="645"/>
      <c r="AL19" s="66"/>
    </row>
    <row r="20" spans="4:63" s="9" customFormat="1" ht="13.5" customHeight="1">
      <c r="D20" s="70"/>
      <c r="E20" s="53"/>
      <c r="F20" s="640" t="s">
        <v>326</v>
      </c>
      <c r="G20" s="649"/>
      <c r="H20" s="649"/>
      <c r="I20" s="649"/>
      <c r="J20" s="649"/>
      <c r="K20" s="649"/>
      <c r="L20" s="649"/>
      <c r="M20" s="649"/>
      <c r="N20" s="649"/>
      <c r="O20" s="649"/>
      <c r="P20" s="649"/>
      <c r="Q20" s="649"/>
      <c r="R20" s="649"/>
      <c r="S20" s="649"/>
      <c r="T20" s="649"/>
      <c r="U20" s="649"/>
      <c r="V20" s="649"/>
      <c r="W20" s="649"/>
      <c r="X20" s="649"/>
      <c r="Y20" s="649"/>
      <c r="Z20" s="650" t="s">
        <v>327</v>
      </c>
      <c r="AA20" s="651"/>
      <c r="AB20" s="651"/>
      <c r="AC20" s="651"/>
      <c r="AD20" s="651"/>
      <c r="AE20" s="651"/>
      <c r="AF20" s="651"/>
      <c r="AG20" s="651"/>
      <c r="AH20" s="651"/>
      <c r="AI20" s="651"/>
      <c r="AJ20" s="651"/>
      <c r="AK20" s="651"/>
      <c r="AL20" s="66"/>
      <c r="AM20"/>
      <c r="AN20"/>
    </row>
    <row r="21" spans="4:63" s="9" customFormat="1" ht="13.5" customHeight="1">
      <c r="D21" s="70"/>
      <c r="E21" s="53"/>
      <c r="F21" s="57"/>
      <c r="G21" s="58"/>
      <c r="H21" s="58"/>
      <c r="I21" s="58"/>
      <c r="J21" s="58"/>
      <c r="K21" s="58"/>
      <c r="L21" s="58"/>
      <c r="M21" s="58"/>
      <c r="N21" s="58"/>
      <c r="O21" s="58"/>
      <c r="P21" s="58"/>
      <c r="Q21" s="58"/>
      <c r="R21" s="58"/>
      <c r="S21" s="58"/>
      <c r="T21" s="58"/>
      <c r="U21" s="58"/>
      <c r="V21" s="58"/>
      <c r="W21" s="58"/>
      <c r="X21" s="58"/>
      <c r="Y21" s="58"/>
      <c r="Z21" s="59"/>
      <c r="AA21" s="60"/>
      <c r="AB21" s="60"/>
      <c r="AC21" s="60"/>
      <c r="AD21" s="60"/>
      <c r="AE21" s="60"/>
      <c r="AF21" s="60"/>
      <c r="AG21" s="60"/>
      <c r="AH21" s="60"/>
      <c r="AI21" s="60"/>
      <c r="AJ21" s="60"/>
      <c r="AK21" s="60"/>
      <c r="AL21" s="66"/>
      <c r="AM21"/>
      <c r="AN21"/>
    </row>
    <row r="22" spans="4:63" s="9" customFormat="1" ht="13.5" customHeight="1">
      <c r="D22" s="70"/>
      <c r="E22" s="53"/>
      <c r="F22" s="640" t="s">
        <v>328</v>
      </c>
      <c r="G22" s="641"/>
      <c r="H22" s="641"/>
      <c r="I22" s="641"/>
      <c r="J22" s="641"/>
      <c r="K22" s="641"/>
      <c r="L22" s="641"/>
      <c r="M22" s="641"/>
      <c r="N22" s="641"/>
      <c r="O22" s="641"/>
      <c r="P22" s="641"/>
      <c r="Q22" s="641"/>
      <c r="R22" s="641"/>
      <c r="S22" s="641"/>
      <c r="T22" s="641"/>
      <c r="U22" s="641"/>
      <c r="V22" s="641"/>
      <c r="W22" s="641"/>
      <c r="X22" s="641"/>
      <c r="Y22" s="641"/>
      <c r="Z22" s="642" t="str">
        <f>SUM(Z19,AC14)&amp;" minutes"</f>
        <v>0 minutes</v>
      </c>
      <c r="AA22" s="643"/>
      <c r="AB22" s="643"/>
      <c r="AC22" s="643"/>
      <c r="AD22" s="643"/>
      <c r="AE22" s="643"/>
      <c r="AF22" s="643"/>
      <c r="AG22" s="643"/>
      <c r="AH22" s="643"/>
      <c r="AI22" s="643"/>
      <c r="AJ22" s="643"/>
      <c r="AK22" s="643"/>
      <c r="AL22" s="66"/>
      <c r="AM22"/>
      <c r="AN22"/>
    </row>
    <row r="23" spans="4:63" s="9" customFormat="1" ht="13.5" customHeight="1">
      <c r="D23" s="70"/>
      <c r="E23" s="53"/>
      <c r="F23" s="57"/>
      <c r="G23" s="58"/>
      <c r="H23" s="58"/>
      <c r="I23" s="58"/>
      <c r="J23" s="58"/>
      <c r="K23" s="58"/>
      <c r="L23" s="58"/>
      <c r="M23" s="58"/>
      <c r="N23" s="58"/>
      <c r="O23" s="58"/>
      <c r="P23" s="58"/>
      <c r="Q23" s="58"/>
      <c r="R23" s="58"/>
      <c r="S23" s="58"/>
      <c r="T23" s="58"/>
      <c r="U23" s="58"/>
      <c r="V23" s="58"/>
      <c r="W23" s="58"/>
      <c r="X23" s="58"/>
      <c r="Y23" s="58"/>
      <c r="Z23" s="59"/>
      <c r="AA23" s="60"/>
      <c r="AB23" s="60"/>
      <c r="AC23" s="60"/>
      <c r="AD23" s="60"/>
      <c r="AE23" s="60"/>
      <c r="AF23" s="60"/>
      <c r="AG23" s="60"/>
      <c r="AH23" s="60"/>
      <c r="AI23" s="60"/>
      <c r="AJ23" s="60"/>
      <c r="AK23" s="60"/>
      <c r="AL23" s="66"/>
      <c r="AM23"/>
      <c r="AN23"/>
    </row>
    <row r="24" spans="4:63" s="9" customFormat="1" ht="15" customHeight="1">
      <c r="D24" s="71"/>
      <c r="E24" s="61"/>
      <c r="F24" s="183"/>
      <c r="G24" s="61"/>
      <c r="H24" s="61"/>
      <c r="I24" s="61"/>
      <c r="J24" s="61"/>
      <c r="K24" s="61"/>
      <c r="L24" s="61"/>
      <c r="M24" s="61"/>
      <c r="N24" s="61"/>
      <c r="O24" s="61"/>
      <c r="P24" s="61"/>
      <c r="Q24" s="61"/>
      <c r="R24" s="61"/>
      <c r="S24" s="61"/>
      <c r="T24" s="61"/>
      <c r="U24" s="61"/>
      <c r="V24" s="61"/>
      <c r="W24" s="61"/>
      <c r="X24" s="184"/>
      <c r="Y24" s="62"/>
      <c r="Z24" s="62"/>
      <c r="AA24" s="62"/>
      <c r="AB24" s="62"/>
      <c r="AC24" s="62"/>
      <c r="AD24" s="62"/>
      <c r="AE24" s="62"/>
      <c r="AF24" s="62"/>
      <c r="AG24" s="62"/>
      <c r="AH24" s="62"/>
      <c r="AI24" s="62"/>
      <c r="AJ24" s="61"/>
      <c r="AK24" s="61"/>
      <c r="AL24" s="72"/>
    </row>
    <row r="25" spans="4:63" s="9" customFormat="1" ht="13.5" customHeight="1">
      <c r="D25" s="71"/>
      <c r="E25" s="61"/>
      <c r="F25" s="657" t="str">
        <f ca="1">IF(Z20="&lt; enter date sent &gt;","",IF(TODAY()-Z20&gt;90,"Was a reapplication received after sending out the T = - 3 month e-mail:",""))</f>
        <v/>
      </c>
      <c r="G25" s="658"/>
      <c r="H25" s="658"/>
      <c r="I25" s="658"/>
      <c r="J25" s="658"/>
      <c r="K25" s="658"/>
      <c r="L25" s="658"/>
      <c r="M25" s="658"/>
      <c r="N25" s="658"/>
      <c r="O25" s="658"/>
      <c r="P25" s="658"/>
      <c r="Q25" s="658"/>
      <c r="R25" s="658"/>
      <c r="S25" s="658"/>
      <c r="T25" s="658"/>
      <c r="U25" s="658"/>
      <c r="V25" s="658"/>
      <c r="W25" s="658"/>
      <c r="X25" s="658"/>
      <c r="Y25" s="658"/>
      <c r="Z25" s="659"/>
      <c r="AA25" s="660"/>
      <c r="AB25" s="660"/>
      <c r="AC25" s="660"/>
      <c r="AD25" s="660"/>
      <c r="AE25" s="660"/>
      <c r="AF25" s="660"/>
      <c r="AG25" s="660"/>
      <c r="AH25" s="660"/>
      <c r="AI25" s="660"/>
      <c r="AJ25" s="660"/>
      <c r="AK25" s="660"/>
      <c r="AL25" s="72"/>
    </row>
    <row r="26" spans="4:63" s="9" customFormat="1" ht="13.5" customHeight="1">
      <c r="D26" s="71"/>
      <c r="E26" s="61"/>
      <c r="F26" s="657" t="str">
        <f>IF(Z25="yes","Enter date application was received and then process as a new application form:","")</f>
        <v/>
      </c>
      <c r="G26" s="658"/>
      <c r="H26" s="658"/>
      <c r="I26" s="658"/>
      <c r="J26" s="658"/>
      <c r="K26" s="658"/>
      <c r="L26" s="658"/>
      <c r="M26" s="658"/>
      <c r="N26" s="658"/>
      <c r="O26" s="658"/>
      <c r="P26" s="658"/>
      <c r="Q26" s="658"/>
      <c r="R26" s="658"/>
      <c r="S26" s="658"/>
      <c r="T26" s="658"/>
      <c r="U26" s="658"/>
      <c r="V26" s="658"/>
      <c r="W26" s="658"/>
      <c r="X26" s="658"/>
      <c r="Y26" s="658"/>
      <c r="Z26" s="659" t="str">
        <f>IF(Z25="yes","&lt; enter date reapplication was received &gt;","")</f>
        <v/>
      </c>
      <c r="AA26" s="660"/>
      <c r="AB26" s="660"/>
      <c r="AC26" s="660"/>
      <c r="AD26" s="660"/>
      <c r="AE26" s="660"/>
      <c r="AF26" s="660"/>
      <c r="AG26" s="660"/>
      <c r="AH26" s="660"/>
      <c r="AI26" s="660"/>
      <c r="AJ26" s="660"/>
      <c r="AK26" s="660"/>
      <c r="AL26" s="72"/>
      <c r="AP26" s="675"/>
      <c r="AQ26" s="674"/>
      <c r="AR26" s="674"/>
      <c r="AS26" s="674"/>
      <c r="AT26" s="674"/>
      <c r="AU26" s="674"/>
      <c r="AV26" s="674"/>
      <c r="AW26" s="674"/>
      <c r="AX26" s="674"/>
      <c r="AY26" s="674"/>
      <c r="AZ26" s="674"/>
      <c r="BA26" s="674"/>
      <c r="BB26" s="674"/>
      <c r="BC26" s="674"/>
      <c r="BD26" s="674"/>
      <c r="BE26" s="674"/>
      <c r="BF26" s="674"/>
      <c r="BG26" s="674"/>
      <c r="BH26" s="674"/>
      <c r="BI26" s="674"/>
      <c r="BJ26" s="674"/>
      <c r="BK26" s="674"/>
    </row>
    <row r="27" spans="4:63" s="9" customFormat="1" ht="13.5" customHeight="1">
      <c r="D27" s="71"/>
      <c r="E27" s="61"/>
      <c r="F27" s="183"/>
      <c r="G27" s="61"/>
      <c r="H27" s="61"/>
      <c r="I27" s="61"/>
      <c r="J27" s="61"/>
      <c r="K27" s="61"/>
      <c r="L27" s="61"/>
      <c r="M27" s="61"/>
      <c r="N27" s="61"/>
      <c r="O27" s="61"/>
      <c r="P27" s="61"/>
      <c r="Q27" s="61"/>
      <c r="R27" s="61"/>
      <c r="S27" s="61"/>
      <c r="T27" s="61"/>
      <c r="U27" s="61"/>
      <c r="V27" s="61"/>
      <c r="W27" s="61"/>
      <c r="X27" s="184"/>
      <c r="Y27" s="62"/>
      <c r="Z27" s="62"/>
      <c r="AA27" s="62"/>
      <c r="AB27" s="62"/>
      <c r="AC27" s="62"/>
      <c r="AD27" s="62"/>
      <c r="AE27" s="62"/>
      <c r="AF27" s="62"/>
      <c r="AG27" s="62"/>
      <c r="AH27" s="62"/>
      <c r="AI27" s="62"/>
      <c r="AJ27" s="61"/>
      <c r="AK27" s="61"/>
      <c r="AL27" s="72"/>
    </row>
    <row r="28" spans="4:63" s="9" customFormat="1" ht="13.5" customHeight="1">
      <c r="D28" s="71"/>
      <c r="E28" s="61"/>
      <c r="F28" s="663" t="str">
        <f>IF(Z25="no","Prepare second T = 0 month expiry notification e-mail using this e-mail template:","")</f>
        <v/>
      </c>
      <c r="G28" s="733"/>
      <c r="H28" s="733"/>
      <c r="I28" s="733"/>
      <c r="J28" s="733"/>
      <c r="K28" s="733"/>
      <c r="L28" s="733"/>
      <c r="M28" s="733"/>
      <c r="N28" s="733"/>
      <c r="O28" s="733"/>
      <c r="P28" s="733"/>
      <c r="Q28" s="733"/>
      <c r="R28" s="733"/>
      <c r="S28" s="733"/>
      <c r="T28" s="733"/>
      <c r="U28" s="733"/>
      <c r="V28" s="733"/>
      <c r="W28" s="733"/>
      <c r="X28" s="733"/>
      <c r="Y28" s="733"/>
      <c r="Z28" s="664" t="str">
        <f>IF(Z25="no","62042907","")</f>
        <v/>
      </c>
      <c r="AA28" s="664"/>
      <c r="AB28" s="664"/>
      <c r="AC28" s="664"/>
      <c r="AD28" s="664"/>
      <c r="AE28" s="664"/>
      <c r="AF28" s="664"/>
      <c r="AG28" s="664"/>
      <c r="AH28" s="664"/>
      <c r="AI28" s="664"/>
      <c r="AJ28" s="664"/>
      <c r="AK28" s="664"/>
      <c r="AL28" s="72"/>
    </row>
    <row r="29" spans="4:63" s="9" customFormat="1" ht="13.5" customHeight="1">
      <c r="D29" s="673" t="str">
        <f>IF(Z25="no","Save this second expiry notification e-mail using the previously created KPI Customer Index entry in the original NEXUS folder name:","")</f>
        <v/>
      </c>
      <c r="E29" s="674"/>
      <c r="F29" s="674"/>
      <c r="G29" s="674"/>
      <c r="H29" s="674"/>
      <c r="I29" s="674"/>
      <c r="J29" s="674"/>
      <c r="K29" s="674"/>
      <c r="L29" s="674"/>
      <c r="M29" s="674"/>
      <c r="N29" s="674"/>
      <c r="O29" s="674"/>
      <c r="P29" s="674"/>
      <c r="Q29" s="674"/>
      <c r="R29" s="674"/>
      <c r="S29" s="674"/>
      <c r="T29" s="674"/>
      <c r="U29" s="674"/>
      <c r="V29" s="674"/>
      <c r="W29" s="674"/>
      <c r="X29" s="674"/>
      <c r="Y29" s="674"/>
      <c r="Z29" s="671" t="str">
        <f>IF(Z25="no","&lt; has this expiry e-mail now been saved? &gt;","")</f>
        <v/>
      </c>
      <c r="AA29" s="672"/>
      <c r="AB29" s="672"/>
      <c r="AC29" s="672"/>
      <c r="AD29" s="672"/>
      <c r="AE29" s="672"/>
      <c r="AF29" s="672"/>
      <c r="AG29" s="672"/>
      <c r="AH29" s="672"/>
      <c r="AI29" s="61"/>
      <c r="AJ29" s="61"/>
      <c r="AK29" s="61"/>
      <c r="AL29" s="229"/>
      <c r="AM29" s="51"/>
      <c r="AN29" s="51"/>
    </row>
    <row r="30" spans="4:63" s="9" customFormat="1" ht="13.5" customHeight="1">
      <c r="D30" s="71"/>
      <c r="E30" s="61"/>
      <c r="F30" s="657" t="str">
        <f>IF(Z25="no","NEXUS Reference:","")</f>
        <v/>
      </c>
      <c r="G30" s="733"/>
      <c r="H30" s="733"/>
      <c r="I30" s="733"/>
      <c r="J30" s="733"/>
      <c r="K30" s="733"/>
      <c r="L30" s="733"/>
      <c r="M30" s="733"/>
      <c r="N30" s="733"/>
      <c r="O30" s="733"/>
      <c r="P30" s="733"/>
      <c r="Q30" s="733"/>
      <c r="R30" s="733"/>
      <c r="S30" s="733"/>
      <c r="T30" s="733"/>
      <c r="U30" s="733"/>
      <c r="V30" s="733"/>
      <c r="W30" s="733"/>
      <c r="X30" s="733"/>
      <c r="Y30" s="733"/>
      <c r="Z30" s="659" t="str">
        <f>IF(Z25="no","&lt; enter NEXUS Reference and (sub) version number &gt;","")</f>
        <v/>
      </c>
      <c r="AA30" s="666"/>
      <c r="AB30" s="666"/>
      <c r="AC30" s="666"/>
      <c r="AD30" s="666"/>
      <c r="AE30" s="666"/>
      <c r="AF30" s="666"/>
      <c r="AG30" s="666"/>
      <c r="AH30" s="666"/>
      <c r="AI30" s="666"/>
      <c r="AJ30" s="666"/>
      <c r="AK30" s="666"/>
      <c r="AL30" s="72"/>
      <c r="AN30" s="48" t="s">
        <v>324</v>
      </c>
    </row>
    <row r="31" spans="4:63" s="9" customFormat="1" ht="13.5" customHeight="1">
      <c r="D31" s="71"/>
      <c r="E31" s="61"/>
      <c r="F31" s="657" t="str">
        <f>IF(Z25="no","Time taken Expiry Notification (minutes):","")</f>
        <v/>
      </c>
      <c r="G31" s="733"/>
      <c r="H31" s="733"/>
      <c r="I31" s="733"/>
      <c r="J31" s="733"/>
      <c r="K31" s="733"/>
      <c r="L31" s="733"/>
      <c r="M31" s="733"/>
      <c r="N31" s="733"/>
      <c r="O31" s="733"/>
      <c r="P31" s="733"/>
      <c r="Q31" s="733"/>
      <c r="R31" s="733"/>
      <c r="S31" s="733"/>
      <c r="T31" s="733"/>
      <c r="U31" s="733"/>
      <c r="V31" s="733"/>
      <c r="W31" s="733"/>
      <c r="X31" s="733"/>
      <c r="Y31" s="733"/>
      <c r="Z31" s="659" t="str">
        <f>IF(Z25="no","&lt; enter time taken &gt;","")</f>
        <v/>
      </c>
      <c r="AA31" s="666"/>
      <c r="AB31" s="666"/>
      <c r="AC31" s="666"/>
      <c r="AD31" s="666"/>
      <c r="AE31" s="666"/>
      <c r="AF31" s="666"/>
      <c r="AG31" s="666"/>
      <c r="AH31" s="666"/>
      <c r="AI31" s="666"/>
      <c r="AJ31" s="666"/>
      <c r="AK31" s="666"/>
      <c r="AL31" s="72"/>
    </row>
    <row r="32" spans="4:63" s="9" customFormat="1" ht="13.5" customHeight="1">
      <c r="D32" s="71"/>
      <c r="E32" s="61"/>
      <c r="F32" s="657" t="str">
        <f>IF(Z25="no","Date T = 0 Month e-mail was sent out:","")</f>
        <v/>
      </c>
      <c r="G32" s="668"/>
      <c r="H32" s="668"/>
      <c r="I32" s="668"/>
      <c r="J32" s="668"/>
      <c r="K32" s="668"/>
      <c r="L32" s="668"/>
      <c r="M32" s="668"/>
      <c r="N32" s="668"/>
      <c r="O32" s="668"/>
      <c r="P32" s="668"/>
      <c r="Q32" s="668"/>
      <c r="R32" s="668"/>
      <c r="S32" s="668"/>
      <c r="T32" s="668"/>
      <c r="U32" s="668"/>
      <c r="V32" s="668"/>
      <c r="W32" s="668"/>
      <c r="X32" s="668"/>
      <c r="Y32" s="668"/>
      <c r="Z32" s="669" t="str">
        <f>IF(Z25="no","&lt; enter date sent &gt;","")</f>
        <v/>
      </c>
      <c r="AA32" s="670"/>
      <c r="AB32" s="670"/>
      <c r="AC32" s="670"/>
      <c r="AD32" s="670"/>
      <c r="AE32" s="670"/>
      <c r="AF32" s="670"/>
      <c r="AG32" s="670"/>
      <c r="AH32" s="670"/>
      <c r="AI32" s="670"/>
      <c r="AJ32" s="670"/>
      <c r="AK32" s="670"/>
      <c r="AL32" s="72"/>
      <c r="AQ32" s="46"/>
      <c r="AR32" s="55"/>
    </row>
    <row r="33" spans="4:44" s="9" customFormat="1" ht="13.5" customHeight="1">
      <c r="D33" s="71"/>
      <c r="E33" s="61"/>
      <c r="F33" s="183"/>
      <c r="G33" s="225"/>
      <c r="H33" s="225"/>
      <c r="I33" s="225"/>
      <c r="J33" s="225"/>
      <c r="K33" s="225"/>
      <c r="L33" s="225"/>
      <c r="M33" s="225"/>
      <c r="N33" s="225"/>
      <c r="O33" s="225"/>
      <c r="P33" s="225"/>
      <c r="Q33" s="225"/>
      <c r="R33" s="225"/>
      <c r="S33" s="225"/>
      <c r="T33" s="225"/>
      <c r="U33" s="225"/>
      <c r="V33" s="225"/>
      <c r="W33" s="225"/>
      <c r="X33" s="225"/>
      <c r="Y33" s="225"/>
      <c r="Z33" s="226"/>
      <c r="AA33" s="227"/>
      <c r="AB33" s="227"/>
      <c r="AC33" s="227"/>
      <c r="AD33" s="227"/>
      <c r="AE33" s="227"/>
      <c r="AF33" s="227"/>
      <c r="AG33" s="227"/>
      <c r="AH33" s="227"/>
      <c r="AI33" s="227"/>
      <c r="AJ33" s="227"/>
      <c r="AK33" s="227"/>
      <c r="AL33" s="72"/>
      <c r="AQ33" s="46"/>
    </row>
    <row r="34" spans="4:44" s="9" customFormat="1" ht="13.5" customHeight="1">
      <c r="D34" s="71"/>
      <c r="E34" s="61"/>
      <c r="F34" s="657" t="str">
        <f>IF(Z25="no","Open the Product Appraisal KPI sheet and enter the following time as an 'Expiry Notification' activity:","")</f>
        <v/>
      </c>
      <c r="G34" s="674"/>
      <c r="H34" s="674"/>
      <c r="I34" s="674"/>
      <c r="J34" s="674"/>
      <c r="K34" s="674"/>
      <c r="L34" s="674"/>
      <c r="M34" s="674"/>
      <c r="N34" s="674"/>
      <c r="O34" s="674"/>
      <c r="P34" s="674"/>
      <c r="Q34" s="674"/>
      <c r="R34" s="674"/>
      <c r="S34" s="674"/>
      <c r="T34" s="674"/>
      <c r="U34" s="674"/>
      <c r="V34" s="674"/>
      <c r="W34" s="674"/>
      <c r="X34" s="674"/>
      <c r="Y34" s="674"/>
      <c r="Z34" s="676" t="str">
        <f>IF(Z25="no",SUM(Z31)&amp;" minutes","")</f>
        <v/>
      </c>
      <c r="AA34" s="677"/>
      <c r="AB34" s="677"/>
      <c r="AC34" s="677"/>
      <c r="AD34" s="677"/>
      <c r="AE34" s="677"/>
      <c r="AF34" s="677"/>
      <c r="AG34" s="677"/>
      <c r="AH34" s="677"/>
      <c r="AI34" s="677"/>
      <c r="AJ34" s="677"/>
      <c r="AK34" s="677"/>
      <c r="AL34" s="72"/>
      <c r="AM34"/>
      <c r="AN34"/>
      <c r="AQ34" s="46"/>
      <c r="AR34" s="55"/>
    </row>
    <row r="35" spans="4:44" s="9" customFormat="1" ht="13.5" customHeight="1">
      <c r="D35" s="71"/>
      <c r="E35" s="61"/>
      <c r="F35" s="183"/>
      <c r="G35" s="225"/>
      <c r="H35" s="225"/>
      <c r="I35" s="225"/>
      <c r="J35" s="225"/>
      <c r="K35" s="225"/>
      <c r="L35" s="225"/>
      <c r="M35" s="225"/>
      <c r="N35" s="225"/>
      <c r="O35" s="225"/>
      <c r="P35" s="225"/>
      <c r="Q35" s="225"/>
      <c r="R35" s="225"/>
      <c r="S35" s="225"/>
      <c r="T35" s="225"/>
      <c r="U35" s="225"/>
      <c r="V35" s="225"/>
      <c r="W35" s="225"/>
      <c r="X35" s="225"/>
      <c r="Y35" s="225"/>
      <c r="Z35" s="226"/>
      <c r="AA35" s="227"/>
      <c r="AB35" s="227"/>
      <c r="AC35" s="227"/>
      <c r="AD35" s="227"/>
      <c r="AE35" s="227"/>
      <c r="AF35" s="227"/>
      <c r="AG35" s="227"/>
      <c r="AH35" s="227"/>
      <c r="AI35" s="227"/>
      <c r="AJ35" s="227"/>
      <c r="AK35" s="227"/>
      <c r="AL35" s="72"/>
      <c r="AM35"/>
      <c r="AN35"/>
    </row>
    <row r="36" spans="4:44" s="9" customFormat="1" ht="12.75" customHeight="1">
      <c r="D36" s="70"/>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66"/>
    </row>
    <row r="37" spans="4:44" s="9" customFormat="1" ht="13.5" customHeight="1">
      <c r="D37" s="70"/>
      <c r="E37" s="53"/>
      <c r="F37" s="640" t="str">
        <f ca="1">IF(OR(Z32="",Z32="&lt; enter date sent &gt;"),"",IF(TODAY()-Z32&gt;90,"Was a reapplication received after sending out the T = 0 month e-mail:",""))</f>
        <v/>
      </c>
      <c r="G37" s="661"/>
      <c r="H37" s="661"/>
      <c r="I37" s="661"/>
      <c r="J37" s="661"/>
      <c r="K37" s="661"/>
      <c r="L37" s="661"/>
      <c r="M37" s="661"/>
      <c r="N37" s="661"/>
      <c r="O37" s="661"/>
      <c r="P37" s="661"/>
      <c r="Q37" s="661"/>
      <c r="R37" s="661"/>
      <c r="S37" s="661"/>
      <c r="T37" s="661"/>
      <c r="U37" s="661"/>
      <c r="V37" s="661"/>
      <c r="W37" s="661"/>
      <c r="X37" s="661"/>
      <c r="Y37" s="661"/>
      <c r="Z37" s="644" t="str">
        <f ca="1">IF(F37&lt;&gt;"","&lt; select here &gt;","")</f>
        <v/>
      </c>
      <c r="AA37" s="662"/>
      <c r="AB37" s="662"/>
      <c r="AC37" s="662"/>
      <c r="AD37" s="662"/>
      <c r="AE37" s="662"/>
      <c r="AF37" s="662"/>
      <c r="AG37" s="662"/>
      <c r="AH37" s="662"/>
      <c r="AI37" s="662"/>
      <c r="AJ37" s="662"/>
      <c r="AK37" s="662"/>
      <c r="AL37" s="66"/>
    </row>
    <row r="38" spans="4:44" s="9" customFormat="1" ht="13.5" customHeight="1">
      <c r="D38" s="70"/>
      <c r="E38" s="53"/>
      <c r="F38" s="640" t="str">
        <f ca="1">IF(Z37="yes","Enter date application was received and then process as a new application form:","")</f>
        <v/>
      </c>
      <c r="G38" s="661"/>
      <c r="H38" s="661"/>
      <c r="I38" s="661"/>
      <c r="J38" s="661"/>
      <c r="K38" s="661"/>
      <c r="L38" s="661"/>
      <c r="M38" s="661"/>
      <c r="N38" s="661"/>
      <c r="O38" s="661"/>
      <c r="P38" s="661"/>
      <c r="Q38" s="661"/>
      <c r="R38" s="661"/>
      <c r="S38" s="661"/>
      <c r="T38" s="661"/>
      <c r="U38" s="661"/>
      <c r="V38" s="661"/>
      <c r="W38" s="661"/>
      <c r="X38" s="661"/>
      <c r="Y38" s="661"/>
      <c r="Z38" s="644" t="str">
        <f ca="1">IF(Z37="yes","&lt; enter date reapplication was received &gt;","")</f>
        <v/>
      </c>
      <c r="AA38" s="662"/>
      <c r="AB38" s="662"/>
      <c r="AC38" s="662"/>
      <c r="AD38" s="662"/>
      <c r="AE38" s="662"/>
      <c r="AF38" s="662"/>
      <c r="AG38" s="662"/>
      <c r="AH38" s="662"/>
      <c r="AI38" s="662"/>
      <c r="AJ38" s="662"/>
      <c r="AK38" s="662"/>
      <c r="AL38" s="66"/>
    </row>
    <row r="39" spans="4:44" s="9" customFormat="1" ht="13.5" customHeight="1">
      <c r="D39" s="70"/>
      <c r="E39" s="53"/>
      <c r="F39" s="52"/>
      <c r="G39" s="52"/>
      <c r="H39" s="52"/>
      <c r="I39" s="52"/>
      <c r="J39" s="52"/>
      <c r="K39" s="52"/>
      <c r="L39" s="52"/>
      <c r="M39" s="52"/>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66"/>
    </row>
    <row r="40" spans="4:44" s="9" customFormat="1" ht="13.5" customHeight="1">
      <c r="D40" s="70"/>
      <c r="E40" s="53"/>
      <c r="F40" s="667" t="str">
        <f ca="1">IF(Z37="no","Prepare third and final T = + 3 month expiry notification e-mail using this e-mail template:","")</f>
        <v/>
      </c>
      <c r="G40" s="731"/>
      <c r="H40" s="731"/>
      <c r="I40" s="731"/>
      <c r="J40" s="731"/>
      <c r="K40" s="731"/>
      <c r="L40" s="731"/>
      <c r="M40" s="731"/>
      <c r="N40" s="731"/>
      <c r="O40" s="731"/>
      <c r="P40" s="731"/>
      <c r="Q40" s="731"/>
      <c r="R40" s="731"/>
      <c r="S40" s="731"/>
      <c r="T40" s="731"/>
      <c r="U40" s="731"/>
      <c r="V40" s="731"/>
      <c r="W40" s="731"/>
      <c r="X40" s="731"/>
      <c r="Y40" s="731"/>
      <c r="Z40" s="653" t="str">
        <f ca="1">IF(Z37="no","62043939","")</f>
        <v/>
      </c>
      <c r="AA40" s="653"/>
      <c r="AB40" s="653"/>
      <c r="AC40" s="653"/>
      <c r="AD40" s="653"/>
      <c r="AE40" s="653"/>
      <c r="AF40" s="653"/>
      <c r="AG40" s="653"/>
      <c r="AH40" s="653"/>
      <c r="AI40" s="653"/>
      <c r="AJ40" s="653"/>
      <c r="AK40" s="653"/>
      <c r="AL40" s="66"/>
    </row>
    <row r="41" spans="4:44" s="9" customFormat="1" ht="13.5" customHeight="1">
      <c r="D41" s="646" t="str">
        <f ca="1">IF(Z37="no","Save this third expiry notification e-mail using the previously created KPI Customer Index entry in the original NEXUS folder name:","")</f>
        <v/>
      </c>
      <c r="E41" s="570"/>
      <c r="F41" s="570"/>
      <c r="G41" s="570"/>
      <c r="H41" s="570"/>
      <c r="I41" s="570"/>
      <c r="J41" s="570"/>
      <c r="K41" s="570"/>
      <c r="L41" s="570"/>
      <c r="M41" s="570"/>
      <c r="N41" s="570"/>
      <c r="O41" s="570"/>
      <c r="P41" s="570"/>
      <c r="Q41" s="570"/>
      <c r="R41" s="570"/>
      <c r="S41" s="570"/>
      <c r="T41" s="570"/>
      <c r="U41" s="570"/>
      <c r="V41" s="570"/>
      <c r="W41" s="570"/>
      <c r="X41" s="570"/>
      <c r="Y41" s="570"/>
      <c r="Z41" s="647" t="str">
        <f ca="1">IF(Z37="no","&lt; has this expiry e-mail now been saved? &gt;","")</f>
        <v/>
      </c>
      <c r="AA41" s="648"/>
      <c r="AB41" s="648"/>
      <c r="AC41" s="648"/>
      <c r="AD41" s="648"/>
      <c r="AE41" s="648"/>
      <c r="AF41" s="648"/>
      <c r="AG41" s="648"/>
      <c r="AH41" s="648"/>
      <c r="AI41" s="53"/>
      <c r="AJ41" s="53"/>
      <c r="AK41" s="53"/>
      <c r="AL41" s="68"/>
      <c r="AM41" s="51"/>
      <c r="AN41" s="51"/>
    </row>
    <row r="42" spans="4:44" s="9" customFormat="1" ht="13.5" customHeight="1">
      <c r="D42" s="70"/>
      <c r="E42" s="53"/>
      <c r="F42" s="640" t="str">
        <f ca="1">IF(Z37="no","NEXUS Reference:","")</f>
        <v/>
      </c>
      <c r="G42" s="731"/>
      <c r="H42" s="731"/>
      <c r="I42" s="731"/>
      <c r="J42" s="731"/>
      <c r="K42" s="731"/>
      <c r="L42" s="731"/>
      <c r="M42" s="731"/>
      <c r="N42" s="731"/>
      <c r="O42" s="731"/>
      <c r="P42" s="731"/>
      <c r="Q42" s="731"/>
      <c r="R42" s="731"/>
      <c r="S42" s="731"/>
      <c r="T42" s="731"/>
      <c r="U42" s="731"/>
      <c r="V42" s="731"/>
      <c r="W42" s="731"/>
      <c r="X42" s="731"/>
      <c r="Y42" s="731"/>
      <c r="Z42" s="644" t="str">
        <f ca="1">IF(Z37="no","&lt; enter NEXUS Reference and (sub) version number &gt;","")</f>
        <v/>
      </c>
      <c r="AA42" s="645"/>
      <c r="AB42" s="645"/>
      <c r="AC42" s="645"/>
      <c r="AD42" s="645"/>
      <c r="AE42" s="645"/>
      <c r="AF42" s="645"/>
      <c r="AG42" s="645"/>
      <c r="AH42" s="645"/>
      <c r="AI42" s="645"/>
      <c r="AJ42" s="645"/>
      <c r="AK42" s="645"/>
      <c r="AL42" s="66"/>
      <c r="AN42" s="48" t="s">
        <v>324</v>
      </c>
    </row>
    <row r="43" spans="4:44" s="9" customFormat="1" ht="13.5" customHeight="1">
      <c r="D43" s="70"/>
      <c r="E43" s="53"/>
      <c r="F43" s="640" t="str">
        <f ca="1">IF(Z37="no","Time taken Expiry Notification (minutes):","")</f>
        <v/>
      </c>
      <c r="G43" s="731"/>
      <c r="H43" s="731"/>
      <c r="I43" s="731"/>
      <c r="J43" s="731"/>
      <c r="K43" s="731"/>
      <c r="L43" s="731"/>
      <c r="M43" s="731"/>
      <c r="N43" s="731"/>
      <c r="O43" s="731"/>
      <c r="P43" s="731"/>
      <c r="Q43" s="731"/>
      <c r="R43" s="731"/>
      <c r="S43" s="731"/>
      <c r="T43" s="731"/>
      <c r="U43" s="731"/>
      <c r="V43" s="731"/>
      <c r="W43" s="731"/>
      <c r="X43" s="731"/>
      <c r="Y43" s="731"/>
      <c r="Z43" s="644" t="str">
        <f ca="1">IF(Z37="no","&lt; enter time taken &gt;","")</f>
        <v/>
      </c>
      <c r="AA43" s="645"/>
      <c r="AB43" s="645"/>
      <c r="AC43" s="645"/>
      <c r="AD43" s="645"/>
      <c r="AE43" s="645"/>
      <c r="AF43" s="645"/>
      <c r="AG43" s="645"/>
      <c r="AH43" s="645"/>
      <c r="AI43" s="645"/>
      <c r="AJ43" s="645"/>
      <c r="AK43" s="645"/>
      <c r="AL43" s="66"/>
    </row>
    <row r="44" spans="4:44" s="9" customFormat="1" ht="13.5" customHeight="1">
      <c r="D44" s="70"/>
      <c r="E44" s="53"/>
      <c r="F44" s="640" t="str">
        <f ca="1">IF(Z37="no","Date T = + 3 Month e-mail was sent out:","")</f>
        <v/>
      </c>
      <c r="G44" s="649"/>
      <c r="H44" s="649"/>
      <c r="I44" s="649"/>
      <c r="J44" s="649"/>
      <c r="K44" s="649"/>
      <c r="L44" s="649"/>
      <c r="M44" s="649"/>
      <c r="N44" s="649"/>
      <c r="O44" s="649"/>
      <c r="P44" s="649"/>
      <c r="Q44" s="649"/>
      <c r="R44" s="649"/>
      <c r="S44" s="649"/>
      <c r="T44" s="649"/>
      <c r="U44" s="649"/>
      <c r="V44" s="649"/>
      <c r="W44" s="649"/>
      <c r="X44" s="649"/>
      <c r="Y44" s="649"/>
      <c r="Z44" s="650" t="str">
        <f ca="1">IF(Z37="no","&lt; enter date sent &gt;","")</f>
        <v/>
      </c>
      <c r="AA44" s="651"/>
      <c r="AB44" s="651"/>
      <c r="AC44" s="651"/>
      <c r="AD44" s="651"/>
      <c r="AE44" s="651"/>
      <c r="AF44" s="651"/>
      <c r="AG44" s="651"/>
      <c r="AH44" s="651"/>
      <c r="AI44" s="651"/>
      <c r="AJ44" s="651"/>
      <c r="AK44" s="651"/>
      <c r="AL44" s="66"/>
    </row>
    <row r="45" spans="4:44" s="9" customFormat="1" ht="13.5" customHeight="1">
      <c r="D45" s="70"/>
      <c r="E45" s="53"/>
      <c r="F45" s="57"/>
      <c r="G45" s="58"/>
      <c r="H45" s="58"/>
      <c r="I45" s="58"/>
      <c r="J45" s="58"/>
      <c r="K45" s="58"/>
      <c r="L45" s="58"/>
      <c r="M45" s="58"/>
      <c r="N45" s="58"/>
      <c r="O45" s="58"/>
      <c r="P45" s="58"/>
      <c r="Q45" s="58"/>
      <c r="R45" s="58"/>
      <c r="S45" s="58"/>
      <c r="T45" s="58"/>
      <c r="U45" s="58"/>
      <c r="V45" s="58"/>
      <c r="W45" s="58"/>
      <c r="X45" s="58"/>
      <c r="Y45" s="58"/>
      <c r="Z45" s="59"/>
      <c r="AA45" s="60"/>
      <c r="AB45" s="60"/>
      <c r="AC45" s="60"/>
      <c r="AD45" s="60"/>
      <c r="AE45" s="60"/>
      <c r="AF45" s="60"/>
      <c r="AG45" s="60"/>
      <c r="AH45" s="60"/>
      <c r="AI45" s="60"/>
      <c r="AJ45" s="60"/>
      <c r="AK45" s="60"/>
      <c r="AL45" s="66"/>
    </row>
    <row r="46" spans="4:44" s="9" customFormat="1" ht="13.5" customHeight="1">
      <c r="D46" s="70"/>
      <c r="E46" s="53"/>
      <c r="F46" s="640" t="str">
        <f ca="1">IF(Z37="no","Open the Product Appraisal KPI sheet and enter the following time as an 'Expiry Notification' activity:","")</f>
        <v/>
      </c>
      <c r="G46" s="640"/>
      <c r="H46" s="640"/>
      <c r="I46" s="640"/>
      <c r="J46" s="640"/>
      <c r="K46" s="640"/>
      <c r="L46" s="640"/>
      <c r="M46" s="640"/>
      <c r="N46" s="640"/>
      <c r="O46" s="640"/>
      <c r="P46" s="640"/>
      <c r="Q46" s="640"/>
      <c r="R46" s="640"/>
      <c r="S46" s="640"/>
      <c r="T46" s="640"/>
      <c r="U46" s="640"/>
      <c r="V46" s="640"/>
      <c r="W46" s="640"/>
      <c r="X46" s="640"/>
      <c r="Y46" s="640"/>
      <c r="Z46" s="642" t="str">
        <f ca="1">IF(Z37="no",SUM(Z43)&amp;" minutes","")</f>
        <v/>
      </c>
      <c r="AA46" s="642"/>
      <c r="AB46" s="642"/>
      <c r="AC46" s="642"/>
      <c r="AD46" s="642"/>
      <c r="AE46" s="642"/>
      <c r="AF46" s="642"/>
      <c r="AG46" s="642"/>
      <c r="AH46" s="642"/>
      <c r="AI46" s="642"/>
      <c r="AJ46" s="642"/>
      <c r="AK46" s="642"/>
      <c r="AL46" s="66"/>
      <c r="AM46"/>
      <c r="AN46"/>
    </row>
    <row r="47" spans="4:44" s="9" customFormat="1" ht="13.5" customHeight="1">
      <c r="D47" s="70"/>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66"/>
    </row>
    <row r="48" spans="4:44" s="9" customFormat="1" ht="13.5" customHeight="1">
      <c r="D48" s="7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72"/>
    </row>
    <row r="49" spans="4:38" s="9" customFormat="1" ht="13.5" customHeight="1">
      <c r="D49" s="71"/>
      <c r="E49" s="61"/>
      <c r="F49" s="657" t="str">
        <f ca="1">IF(OR(Z44="",Z44="&lt; enter date sent &gt;"),"",IF(TODAY()-Z44&gt;28,"Was a reapplication received after sending out the T = + 3 month e-mail:",""))</f>
        <v/>
      </c>
      <c r="G49" s="658"/>
      <c r="H49" s="658"/>
      <c r="I49" s="658"/>
      <c r="J49" s="658"/>
      <c r="K49" s="658"/>
      <c r="L49" s="658"/>
      <c r="M49" s="658"/>
      <c r="N49" s="658"/>
      <c r="O49" s="658"/>
      <c r="P49" s="658"/>
      <c r="Q49" s="658"/>
      <c r="R49" s="658"/>
      <c r="S49" s="658"/>
      <c r="T49" s="658"/>
      <c r="U49" s="658"/>
      <c r="V49" s="658"/>
      <c r="W49" s="658"/>
      <c r="X49" s="658"/>
      <c r="Y49" s="658"/>
      <c r="Z49" s="659" t="str">
        <f ca="1">IF(F49&lt;&gt;"","&lt; select here &gt;","")</f>
        <v/>
      </c>
      <c r="AA49" s="660"/>
      <c r="AB49" s="660"/>
      <c r="AC49" s="660"/>
      <c r="AD49" s="660"/>
      <c r="AE49" s="660"/>
      <c r="AF49" s="660"/>
      <c r="AG49" s="660"/>
      <c r="AH49" s="660"/>
      <c r="AI49" s="660"/>
      <c r="AJ49" s="660"/>
      <c r="AK49" s="660"/>
      <c r="AL49" s="72"/>
    </row>
    <row r="50" spans="4:38" s="9" customFormat="1" ht="13.5" customHeight="1">
      <c r="D50" s="71"/>
      <c r="E50" s="657" t="str">
        <f ca="1">IF(OR(Z49="",Z49="&lt; select here &gt;"),"",IF(Z49="yes","Enter date application was received:","Proceed to remove from web page and MIDAS.  Mark as EXPIRED on I&amp;ASS and 'Not Approved' on product tab."))</f>
        <v/>
      </c>
      <c r="F50" s="678"/>
      <c r="G50" s="678"/>
      <c r="H50" s="678"/>
      <c r="I50" s="678"/>
      <c r="J50" s="678"/>
      <c r="K50" s="678"/>
      <c r="L50" s="678"/>
      <c r="M50" s="678"/>
      <c r="N50" s="678"/>
      <c r="O50" s="678"/>
      <c r="P50" s="678"/>
      <c r="Q50" s="678"/>
      <c r="R50" s="678"/>
      <c r="S50" s="678"/>
      <c r="T50" s="678"/>
      <c r="U50" s="678"/>
      <c r="V50" s="678"/>
      <c r="W50" s="678"/>
      <c r="X50" s="678"/>
      <c r="Y50" s="678"/>
      <c r="Z50" s="659" t="str">
        <f ca="1">IF(Z49="yes","&lt; enter date reapplication was received &gt;","")</f>
        <v/>
      </c>
      <c r="AA50" s="660"/>
      <c r="AB50" s="660"/>
      <c r="AC50" s="660"/>
      <c r="AD50" s="660"/>
      <c r="AE50" s="660"/>
      <c r="AF50" s="660"/>
      <c r="AG50" s="660"/>
      <c r="AH50" s="660"/>
      <c r="AI50" s="660"/>
      <c r="AJ50" s="660"/>
      <c r="AK50" s="660"/>
      <c r="AL50" s="72"/>
    </row>
    <row r="51" spans="4:38" s="9" customFormat="1" ht="13.5" customHeight="1">
      <c r="D51" s="71"/>
      <c r="E51" s="61"/>
      <c r="F51" s="183"/>
      <c r="G51" s="61"/>
      <c r="H51" s="61"/>
      <c r="I51" s="61"/>
      <c r="J51" s="61"/>
      <c r="K51" s="61"/>
      <c r="L51" s="61"/>
      <c r="M51" s="61"/>
      <c r="N51" s="61"/>
      <c r="O51" s="61"/>
      <c r="P51" s="61"/>
      <c r="Q51" s="61"/>
      <c r="R51" s="61"/>
      <c r="S51" s="61"/>
      <c r="T51" s="61"/>
      <c r="U51" s="61"/>
      <c r="V51" s="61"/>
      <c r="W51" s="61"/>
      <c r="X51" s="184"/>
      <c r="Y51" s="62"/>
      <c r="Z51" s="62"/>
      <c r="AA51" s="62"/>
      <c r="AB51" s="62"/>
      <c r="AC51" s="62"/>
      <c r="AD51" s="62"/>
      <c r="AE51" s="62"/>
      <c r="AF51" s="62"/>
      <c r="AG51" s="62"/>
      <c r="AH51" s="62"/>
      <c r="AI51" s="62"/>
      <c r="AJ51" s="61"/>
      <c r="AK51" s="61"/>
      <c r="AL51" s="72"/>
    </row>
    <row r="52" spans="4:38" ht="13.5" customHeight="1">
      <c r="D52" s="234"/>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row>
    <row r="53" spans="4:38" ht="15" customHeight="1">
      <c r="D53" s="234"/>
      <c r="E53" s="52"/>
      <c r="F53" s="640" t="s">
        <v>94</v>
      </c>
      <c r="G53" s="731"/>
      <c r="H53" s="731"/>
      <c r="I53" s="731"/>
      <c r="J53" s="731"/>
      <c r="K53" s="731"/>
      <c r="L53" s="731"/>
      <c r="M53" s="731"/>
      <c r="N53" s="731"/>
      <c r="O53" s="731"/>
      <c r="P53" s="731"/>
      <c r="Q53" s="731"/>
      <c r="R53" s="731"/>
      <c r="S53" s="731"/>
      <c r="T53" s="731"/>
      <c r="U53" s="731"/>
      <c r="V53" s="731"/>
      <c r="W53" s="731"/>
      <c r="X53" s="655" t="s">
        <v>95</v>
      </c>
      <c r="Y53" s="656"/>
      <c r="Z53" s="656"/>
      <c r="AA53" s="656"/>
      <c r="AB53" s="656"/>
      <c r="AC53" s="656"/>
      <c r="AD53" s="656"/>
      <c r="AE53" s="656"/>
      <c r="AF53" s="656"/>
      <c r="AG53" s="656"/>
      <c r="AH53" s="656"/>
      <c r="AI53" s="656"/>
      <c r="AJ53" s="52"/>
      <c r="AK53" s="52"/>
      <c r="AL53" s="52"/>
    </row>
    <row r="54" spans="4:38" ht="13.5" customHeight="1">
      <c r="D54" s="235"/>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row>
  </sheetData>
  <mergeCells count="65">
    <mergeCell ref="E50:Y50"/>
    <mergeCell ref="Z29:AH29"/>
    <mergeCell ref="D29:Y29"/>
    <mergeCell ref="AP26:BK26"/>
    <mergeCell ref="Z41:AH41"/>
    <mergeCell ref="D41:Y41"/>
    <mergeCell ref="Z30:AK30"/>
    <mergeCell ref="F34:Y34"/>
    <mergeCell ref="Z34:AK34"/>
    <mergeCell ref="F26:Y26"/>
    <mergeCell ref="F3:AJ3"/>
    <mergeCell ref="F31:Y31"/>
    <mergeCell ref="Z31:AK31"/>
    <mergeCell ref="F44:Y44"/>
    <mergeCell ref="Z44:AK44"/>
    <mergeCell ref="F40:Y40"/>
    <mergeCell ref="Z40:AK40"/>
    <mergeCell ref="F42:Y42"/>
    <mergeCell ref="Z42:AK42"/>
    <mergeCell ref="F43:Y43"/>
    <mergeCell ref="Z43:AK43"/>
    <mergeCell ref="F32:Y32"/>
    <mergeCell ref="Z32:AK32"/>
    <mergeCell ref="F25:Y25"/>
    <mergeCell ref="Z25:AK25"/>
    <mergeCell ref="F30:Y30"/>
    <mergeCell ref="AN5:BH10"/>
    <mergeCell ref="F53:W53"/>
    <mergeCell ref="X53:AI53"/>
    <mergeCell ref="F49:Y49"/>
    <mergeCell ref="Z49:AK49"/>
    <mergeCell ref="Z50:AK50"/>
    <mergeCell ref="Z26:AK26"/>
    <mergeCell ref="F37:Y37"/>
    <mergeCell ref="Z37:AK37"/>
    <mergeCell ref="F38:Y38"/>
    <mergeCell ref="Z38:AK38"/>
    <mergeCell ref="F46:Y46"/>
    <mergeCell ref="Z46:AK46"/>
    <mergeCell ref="F28:Y28"/>
    <mergeCell ref="Z28:AK28"/>
    <mergeCell ref="Z16:AK16"/>
    <mergeCell ref="F18:Y18"/>
    <mergeCell ref="F13:AB13"/>
    <mergeCell ref="AC11:AK11"/>
    <mergeCell ref="AC13:AK13"/>
    <mergeCell ref="F11:AB11"/>
    <mergeCell ref="F14:AB14"/>
    <mergeCell ref="AC14:AK14"/>
    <mergeCell ref="E9:AL9"/>
    <mergeCell ref="E5:AL5"/>
    <mergeCell ref="E6:AL6"/>
    <mergeCell ref="F22:Y22"/>
    <mergeCell ref="Z22:AK22"/>
    <mergeCell ref="E8:AL8"/>
    <mergeCell ref="Z18:AK18"/>
    <mergeCell ref="F12:AB12"/>
    <mergeCell ref="AC12:AK12"/>
    <mergeCell ref="F17:AB17"/>
    <mergeCell ref="AC17:AK17"/>
    <mergeCell ref="F19:Y19"/>
    <mergeCell ref="Z19:AK19"/>
    <mergeCell ref="F20:Y20"/>
    <mergeCell ref="Z20:AK20"/>
    <mergeCell ref="F16:Y16"/>
  </mergeCells>
  <conditionalFormatting sqref="E8:AJ10 E11:AC14 Z29 D29 Z41 D41">
    <cfRule type="cellIs" dxfId="34" priority="27" operator="equal">
      <formula>"If not already then send out the below e-mail now, unless the customer has recently sent in a re-application form."</formula>
    </cfRule>
  </conditionalFormatting>
  <conditionalFormatting sqref="AN18">
    <cfRule type="cellIs" dxfId="33" priority="20" operator="equal">
      <formula>#REF!</formula>
    </cfRule>
    <cfRule type="cellIs" dxfId="32" priority="21" operator="equal">
      <formula>#REF!</formula>
    </cfRule>
    <cfRule type="cellIs" dxfId="31" priority="22" operator="equal">
      <formula>$J$3</formula>
    </cfRule>
    <cfRule type="cellIs" dxfId="30" priority="23" operator="equal">
      <formula>$J$2</formula>
    </cfRule>
    <cfRule type="cellIs" dxfId="29" priority="24" operator="equal">
      <formula>$J$1</formula>
    </cfRule>
    <cfRule type="cellIs" dxfId="28" priority="25" operator="equal">
      <formula>#REF!</formula>
    </cfRule>
    <cfRule type="cellIs" dxfId="27" priority="26" operator="equal">
      <formula>#REF!</formula>
    </cfRule>
  </conditionalFormatting>
  <conditionalFormatting sqref="E50">
    <cfRule type="cellIs" dxfId="26" priority="19" operator="equal">
      <formula>"Proceed to remove from web page and MIDAS.  Mark as EXPIRED on I&amp;ASS and 'Not Approved' on product tab."</formula>
    </cfRule>
  </conditionalFormatting>
  <conditionalFormatting sqref="AN30">
    <cfRule type="cellIs" dxfId="25" priority="12" operator="equal">
      <formula>#REF!</formula>
    </cfRule>
    <cfRule type="cellIs" dxfId="24" priority="13" operator="equal">
      <formula>#REF!</formula>
    </cfRule>
    <cfRule type="cellIs" dxfId="23" priority="14" operator="equal">
      <formula>$J$3</formula>
    </cfRule>
    <cfRule type="cellIs" dxfId="22" priority="15" operator="equal">
      <formula>$J$2</formula>
    </cfRule>
    <cfRule type="cellIs" dxfId="21" priority="16" operator="equal">
      <formula>$J$1</formula>
    </cfRule>
    <cfRule type="cellIs" dxfId="20" priority="17" operator="equal">
      <formula>#REF!</formula>
    </cfRule>
    <cfRule type="cellIs" dxfId="19" priority="18" operator="equal">
      <formula>#REF!</formula>
    </cfRule>
  </conditionalFormatting>
  <conditionalFormatting sqref="AN42">
    <cfRule type="cellIs" dxfId="18" priority="5" operator="equal">
      <formula>#REF!</formula>
    </cfRule>
    <cfRule type="cellIs" dxfId="17" priority="6" operator="equal">
      <formula>#REF!</formula>
    </cfRule>
    <cfRule type="cellIs" dxfId="16" priority="7" operator="equal">
      <formula>$J$3</formula>
    </cfRule>
    <cfRule type="cellIs" dxfId="15" priority="8" operator="equal">
      <formula>$J$2</formula>
    </cfRule>
    <cfRule type="cellIs" dxfId="14" priority="9" operator="equal">
      <formula>$J$1</formula>
    </cfRule>
    <cfRule type="cellIs" dxfId="13" priority="10" operator="equal">
      <formula>#REF!</formula>
    </cfRule>
    <cfRule type="cellIs" dxfId="12" priority="11" operator="equal">
      <formula>#REF!</formula>
    </cfRule>
  </conditionalFormatting>
  <conditionalFormatting sqref="E17:AC17">
    <cfRule type="cellIs" dxfId="11" priority="4" operator="equal">
      <formula>"If not already then send out the below e-mail now, unless the customer has recently sent in a re-application form."</formula>
    </cfRule>
  </conditionalFormatting>
  <conditionalFormatting sqref="AP26">
    <cfRule type="cellIs" dxfId="10" priority="2" operator="equal">
      <formula>"If not already then send out the below e-mail now, unless the customer has recently sent in a re-application form."</formula>
    </cfRule>
  </conditionalFormatting>
  <hyperlinks>
    <hyperlink ref="Z28:AK28" r:id="rId1" display="https://nexus.watercorporation.com.au/otcs/cs.exe/link/62042907" xr:uid="{00000000-0004-0000-0600-000000000000}"/>
    <hyperlink ref="Z40:AK40" r:id="rId2" display="https://nexus.watercorporation.com.au/otcs/cs.exe/link/62043939" xr:uid="{00000000-0004-0000-0600-000001000000}"/>
    <hyperlink ref="Z16:AK16" r:id="rId3" display="https://nexus.watercorporation.com.au/otcs/cs.exe/link/62006407" xr:uid="{00000000-0004-0000-0600-000002000000}"/>
    <hyperlink ref="AC11:AK11" r:id="rId4" display="58941674 (PA - KPI Sheet)" xr:uid="{00000000-0004-0000-0600-000003000000}"/>
    <hyperlink ref="AC13:AK13" r:id="rId5" display="58979569 (PA - Index and Activity Sheet)" xr:uid="{00000000-0004-0000-0600-000004000000}"/>
  </hyperlinks>
  <pageMargins left="0.7" right="0.7" top="0.75" bottom="0.75" header="0.3" footer="0.3"/>
  <pageSetup paperSize="9" scale="63" orientation="portrait"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'(admin) Drop Down Variables'!$D$6:$D$9</xm:f>
          </x14:formula1>
          <xm:sqref>Z25:AK25 AC12:AK12 Z41:AH41 AC17:AK17 Z29:AH29 Z37:AK37 Z49:AK49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outlinePr summaryBelow="0"/>
  </sheetPr>
  <dimension ref="C2:D121"/>
  <sheetViews>
    <sheetView view="pageBreakPreview" topLeftCell="A20" zoomScale="70" zoomScaleNormal="85" zoomScaleSheetLayoutView="70" workbookViewId="0">
      <selection activeCell="B53" activeCellId="1" sqref="A34:AK60 B52:BM69"/>
    </sheetView>
  </sheetViews>
  <sheetFormatPr defaultColWidth="3.140625" defaultRowHeight="15" outlineLevelRow="2"/>
  <cols>
    <col min="1" max="2" width="3.140625" style="15"/>
    <col min="3" max="3" width="57.28515625" style="15" bestFit="1" customWidth="1"/>
    <col min="4" max="4" width="138.140625" style="15" bestFit="1" customWidth="1"/>
    <col min="5" max="5" width="4.7109375" style="15" customWidth="1"/>
    <col min="6" max="16384" width="3.140625" style="15"/>
  </cols>
  <sheetData>
    <row r="2" spans="3:4">
      <c r="D2" s="15" t="s">
        <v>93</v>
      </c>
    </row>
    <row r="4" spans="3:4" ht="15.6">
      <c r="C4" s="103" t="s">
        <v>329</v>
      </c>
    </row>
    <row r="5" spans="3:4" ht="15.6">
      <c r="C5" s="103"/>
    </row>
    <row r="6" spans="3:4">
      <c r="C6" s="185" t="s">
        <v>330</v>
      </c>
    </row>
    <row r="7" spans="3:4" ht="15.6" outlineLevel="1">
      <c r="C7" s="103"/>
      <c r="D7" s="15" t="s">
        <v>331</v>
      </c>
    </row>
    <row r="8" spans="3:4" ht="15.6" outlineLevel="1">
      <c r="C8" s="103"/>
      <c r="D8" s="15" t="s">
        <v>332</v>
      </c>
    </row>
    <row r="9" spans="3:4" ht="15.6">
      <c r="C9" s="103"/>
    </row>
    <row r="10" spans="3:4">
      <c r="C10" s="110" t="s">
        <v>333</v>
      </c>
      <c r="D10" s="15" t="s">
        <v>93</v>
      </c>
    </row>
    <row r="11" spans="3:4" outlineLevel="1">
      <c r="C11" s="109"/>
      <c r="D11" s="104" t="s">
        <v>334</v>
      </c>
    </row>
    <row r="12" spans="3:4" outlineLevel="1">
      <c r="C12" s="109"/>
      <c r="D12" s="104" t="s">
        <v>335</v>
      </c>
    </row>
    <row r="13" spans="3:4" outlineLevel="1">
      <c r="C13" s="109"/>
      <c r="D13" s="104" t="s">
        <v>336</v>
      </c>
    </row>
    <row r="14" spans="3:4" outlineLevel="1">
      <c r="C14" s="109"/>
      <c r="D14" s="104" t="s">
        <v>337</v>
      </c>
    </row>
    <row r="15" spans="3:4" outlineLevel="1">
      <c r="C15" s="109"/>
      <c r="D15" s="104" t="s">
        <v>338</v>
      </c>
    </row>
    <row r="16" spans="3:4">
      <c r="C16" s="109"/>
    </row>
    <row r="17" spans="3:4">
      <c r="C17" s="107" t="s">
        <v>339</v>
      </c>
    </row>
    <row r="18" spans="3:4" outlineLevel="1">
      <c r="C18" s="106" t="s">
        <v>340</v>
      </c>
    </row>
    <row r="19" spans="3:4" outlineLevel="2">
      <c r="C19" s="105"/>
      <c r="D19" s="102" t="s">
        <v>341</v>
      </c>
    </row>
    <row r="20" spans="3:4" outlineLevel="2">
      <c r="C20" s="105"/>
      <c r="D20" s="102" t="s">
        <v>342</v>
      </c>
    </row>
    <row r="21" spans="3:4" outlineLevel="2">
      <c r="C21" s="105"/>
      <c r="D21" s="102" t="s">
        <v>343</v>
      </c>
    </row>
    <row r="22" spans="3:4" outlineLevel="2">
      <c r="C22" s="105"/>
      <c r="D22" s="102" t="s">
        <v>344</v>
      </c>
    </row>
    <row r="23" spans="3:4" outlineLevel="2">
      <c r="C23" s="105"/>
      <c r="D23" s="102" t="s">
        <v>345</v>
      </c>
    </row>
    <row r="24" spans="3:4" outlineLevel="2">
      <c r="C24" s="105"/>
      <c r="D24" s="102" t="s">
        <v>346</v>
      </c>
    </row>
    <row r="25" spans="3:4" outlineLevel="2">
      <c r="C25" s="105"/>
      <c r="D25" s="102" t="s">
        <v>347</v>
      </c>
    </row>
    <row r="26" spans="3:4" outlineLevel="2">
      <c r="C26" s="105"/>
    </row>
    <row r="27" spans="3:4" outlineLevel="1">
      <c r="C27" s="106" t="s">
        <v>348</v>
      </c>
    </row>
    <row r="28" spans="3:4" ht="15.6" outlineLevel="2">
      <c r="C28" s="350" t="s">
        <v>349</v>
      </c>
      <c r="D28" s="15" t="s">
        <v>350</v>
      </c>
    </row>
    <row r="29" spans="3:4" outlineLevel="2">
      <c r="D29" s="15" t="s">
        <v>351</v>
      </c>
    </row>
    <row r="30" spans="3:4" ht="15.6" outlineLevel="2">
      <c r="C30" s="237" t="s">
        <v>352</v>
      </c>
      <c r="D30" s="15" t="s">
        <v>353</v>
      </c>
    </row>
    <row r="31" spans="3:4" outlineLevel="2">
      <c r="D31" s="15" t="s">
        <v>354</v>
      </c>
    </row>
    <row r="32" spans="3:4" outlineLevel="2">
      <c r="D32" s="15" t="s">
        <v>355</v>
      </c>
    </row>
    <row r="33" spans="3:4" outlineLevel="2">
      <c r="D33" s="15" t="s">
        <v>356</v>
      </c>
    </row>
    <row r="34" spans="3:4" outlineLevel="2">
      <c r="D34" s="15" t="s">
        <v>357</v>
      </c>
    </row>
    <row r="35" spans="3:4" outlineLevel="2">
      <c r="D35" s="15" t="s">
        <v>358</v>
      </c>
    </row>
    <row r="36" spans="3:4" outlineLevel="2">
      <c r="D36" s="15" t="s">
        <v>359</v>
      </c>
    </row>
    <row r="37" spans="3:4" outlineLevel="2">
      <c r="D37" s="15" t="s">
        <v>360</v>
      </c>
    </row>
    <row r="38" spans="3:4" outlineLevel="2">
      <c r="D38" s="15" t="s">
        <v>361</v>
      </c>
    </row>
    <row r="39" spans="3:4" outlineLevel="2">
      <c r="D39" s="15" t="s">
        <v>362</v>
      </c>
    </row>
    <row r="40" spans="3:4" ht="15.6" outlineLevel="2">
      <c r="C40" s="351" t="s">
        <v>363</v>
      </c>
      <c r="D40" s="352" t="s">
        <v>364</v>
      </c>
    </row>
    <row r="41" spans="3:4" ht="15.6" outlineLevel="2">
      <c r="C41" s="351" t="s">
        <v>365</v>
      </c>
      <c r="D41" s="352" t="s">
        <v>366</v>
      </c>
    </row>
    <row r="42" spans="3:4" outlineLevel="2"/>
    <row r="43" spans="3:4" outlineLevel="2"/>
    <row r="44" spans="3:4" outlineLevel="2"/>
    <row r="45" spans="3:4" outlineLevel="1">
      <c r="C45" s="106" t="s">
        <v>367</v>
      </c>
    </row>
    <row r="46" spans="3:4" outlineLevel="2">
      <c r="C46" s="106"/>
      <c r="D46" s="15" t="s">
        <v>368</v>
      </c>
    </row>
    <row r="47" spans="3:4" outlineLevel="2">
      <c r="C47" s="106"/>
      <c r="D47" s="15" t="s">
        <v>369</v>
      </c>
    </row>
    <row r="48" spans="3:4" outlineLevel="2">
      <c r="C48" s="106"/>
      <c r="D48" s="15" t="s">
        <v>370</v>
      </c>
    </row>
    <row r="49" spans="3:4" outlineLevel="2">
      <c r="C49" s="106"/>
      <c r="D49" s="15" t="s">
        <v>371</v>
      </c>
    </row>
    <row r="50" spans="3:4" outlineLevel="2">
      <c r="C50" s="106"/>
      <c r="D50" s="15" t="s">
        <v>372</v>
      </c>
    </row>
    <row r="51" spans="3:4" outlineLevel="2">
      <c r="C51" s="106"/>
      <c r="D51" s="15" t="s">
        <v>373</v>
      </c>
    </row>
    <row r="52" spans="3:4" outlineLevel="2">
      <c r="C52" s="106"/>
    </row>
    <row r="53" spans="3:4">
      <c r="C53" s="106"/>
    </row>
    <row r="54" spans="3:4">
      <c r="C54" s="108" t="s">
        <v>374</v>
      </c>
    </row>
    <row r="55" spans="3:4" outlineLevel="1">
      <c r="C55" s="106" t="s">
        <v>375</v>
      </c>
    </row>
    <row r="56" spans="3:4" ht="15.6" outlineLevel="2">
      <c r="C56" s="106"/>
      <c r="D56" s="103" t="s">
        <v>376</v>
      </c>
    </row>
    <row r="57" spans="3:4" ht="15.6" outlineLevel="2">
      <c r="C57" s="106"/>
      <c r="D57" s="238" t="s">
        <v>377</v>
      </c>
    </row>
    <row r="58" spans="3:4" ht="15.6" outlineLevel="2">
      <c r="D58" s="238" t="s">
        <v>378</v>
      </c>
    </row>
    <row r="59" spans="3:4" ht="15.6" outlineLevel="2">
      <c r="D59" s="238" t="s">
        <v>379</v>
      </c>
    </row>
    <row r="60" spans="3:4" ht="15.6" outlineLevel="2">
      <c r="D60" s="238" t="s">
        <v>380</v>
      </c>
    </row>
    <row r="61" spans="3:4" ht="15.6" outlineLevel="2">
      <c r="D61" s="238"/>
    </row>
    <row r="62" spans="3:4" outlineLevel="1">
      <c r="C62" s="106" t="s">
        <v>381</v>
      </c>
      <c r="D62" s="10"/>
    </row>
    <row r="63" spans="3:4" ht="15.6" outlineLevel="2">
      <c r="C63" s="239" t="s">
        <v>382</v>
      </c>
      <c r="D63" s="238" t="s">
        <v>383</v>
      </c>
    </row>
    <row r="64" spans="3:4" ht="15.6" outlineLevel="2">
      <c r="D64" s="238" t="s">
        <v>384</v>
      </c>
    </row>
    <row r="65" spans="3:4" outlineLevel="2"/>
    <row r="66" spans="3:4" outlineLevel="2">
      <c r="C66" s="239" t="s">
        <v>385</v>
      </c>
    </row>
    <row r="67" spans="3:4" outlineLevel="2">
      <c r="D67" s="15" t="s">
        <v>386</v>
      </c>
    </row>
    <row r="68" spans="3:4" ht="15.6" outlineLevel="2">
      <c r="D68" s="103" t="s">
        <v>387</v>
      </c>
    </row>
    <row r="69" spans="3:4" outlineLevel="2"/>
    <row r="70" spans="3:4" outlineLevel="1">
      <c r="C70" s="106" t="s">
        <v>388</v>
      </c>
    </row>
    <row r="71" spans="3:4" outlineLevel="2">
      <c r="D71" s="15" t="s">
        <v>389</v>
      </c>
    </row>
    <row r="72" spans="3:4" outlineLevel="2">
      <c r="D72" s="15" t="s">
        <v>390</v>
      </c>
    </row>
    <row r="73" spans="3:4" outlineLevel="2">
      <c r="D73" s="15" t="s">
        <v>391</v>
      </c>
    </row>
    <row r="74" spans="3:4" outlineLevel="2">
      <c r="D74" s="15" t="s">
        <v>392</v>
      </c>
    </row>
    <row r="75" spans="3:4" outlineLevel="2"/>
    <row r="76" spans="3:4" outlineLevel="2"/>
    <row r="77" spans="3:4" outlineLevel="2">
      <c r="D77" s="15" t="s">
        <v>393</v>
      </c>
    </row>
    <row r="78" spans="3:4" outlineLevel="2">
      <c r="D78" s="15" t="s">
        <v>394</v>
      </c>
    </row>
    <row r="79" spans="3:4" outlineLevel="2"/>
    <row r="81" spans="3:4">
      <c r="C81" s="108" t="s">
        <v>395</v>
      </c>
    </row>
    <row r="82" spans="3:4" outlineLevel="1">
      <c r="C82" s="106" t="s">
        <v>396</v>
      </c>
    </row>
    <row r="83" spans="3:4" outlineLevel="1">
      <c r="D83" s="10" t="s">
        <v>397</v>
      </c>
    </row>
    <row r="84" spans="3:4" outlineLevel="1">
      <c r="D84" s="10" t="s">
        <v>398</v>
      </c>
    </row>
    <row r="85" spans="3:4" outlineLevel="1">
      <c r="D85" s="10" t="s">
        <v>399</v>
      </c>
    </row>
    <row r="86" spans="3:4" outlineLevel="1"/>
    <row r="87" spans="3:4" outlineLevel="1"/>
    <row r="88" spans="3:4" outlineLevel="1">
      <c r="D88" s="15" t="s">
        <v>393</v>
      </c>
    </row>
    <row r="89" spans="3:4" outlineLevel="1">
      <c r="D89" s="15" t="s">
        <v>394</v>
      </c>
    </row>
    <row r="90" spans="3:4" outlineLevel="1"/>
    <row r="91" spans="3:4" outlineLevel="1"/>
    <row r="93" spans="3:4">
      <c r="C93" s="246" t="s">
        <v>400</v>
      </c>
    </row>
    <row r="94" spans="3:4" outlineLevel="1"/>
    <row r="95" spans="3:4" outlineLevel="1">
      <c r="D95" s="15" t="s">
        <v>401</v>
      </c>
    </row>
    <row r="96" spans="3:4" outlineLevel="1">
      <c r="D96" s="15" t="s">
        <v>402</v>
      </c>
    </row>
    <row r="97" spans="4:4" outlineLevel="1">
      <c r="D97" s="15" t="s">
        <v>403</v>
      </c>
    </row>
    <row r="98" spans="4:4" outlineLevel="1">
      <c r="D98" s="15" t="s">
        <v>404</v>
      </c>
    </row>
    <row r="99" spans="4:4" outlineLevel="1">
      <c r="D99" s="15" t="s">
        <v>405</v>
      </c>
    </row>
    <row r="100" spans="4:4" outlineLevel="1"/>
    <row r="101" spans="4:4" outlineLevel="1"/>
    <row r="102" spans="4:4" outlineLevel="1">
      <c r="D102" s="10" t="s">
        <v>406</v>
      </c>
    </row>
    <row r="103" spans="4:4" outlineLevel="1">
      <c r="D103" s="10" t="s">
        <v>333</v>
      </c>
    </row>
    <row r="104" spans="4:4" outlineLevel="1">
      <c r="D104" s="10" t="s">
        <v>407</v>
      </c>
    </row>
    <row r="105" spans="4:4" outlineLevel="1">
      <c r="D105" s="10" t="s">
        <v>408</v>
      </c>
    </row>
    <row r="106" spans="4:4" outlineLevel="1">
      <c r="D106" s="10" t="s">
        <v>409</v>
      </c>
    </row>
    <row r="107" spans="4:4" outlineLevel="1">
      <c r="D107" s="10" t="s">
        <v>410</v>
      </c>
    </row>
    <row r="108" spans="4:4" outlineLevel="1">
      <c r="D108" s="10" t="s">
        <v>411</v>
      </c>
    </row>
    <row r="109" spans="4:4" outlineLevel="1">
      <c r="D109" s="10" t="s">
        <v>412</v>
      </c>
    </row>
    <row r="110" spans="4:4" outlineLevel="1">
      <c r="D110" s="10" t="s">
        <v>413</v>
      </c>
    </row>
    <row r="111" spans="4:4" outlineLevel="1">
      <c r="D111" s="10" t="s">
        <v>414</v>
      </c>
    </row>
    <row r="112" spans="4:4" outlineLevel="1">
      <c r="D112" s="10" t="s">
        <v>415</v>
      </c>
    </row>
    <row r="113" spans="4:4" outlineLevel="1">
      <c r="D113" s="10" t="s">
        <v>416</v>
      </c>
    </row>
    <row r="114" spans="4:4" outlineLevel="1">
      <c r="D114" s="10" t="s">
        <v>417</v>
      </c>
    </row>
    <row r="115" spans="4:4" outlineLevel="1">
      <c r="D115" s="10" t="s">
        <v>418</v>
      </c>
    </row>
    <row r="116" spans="4:4" outlineLevel="1">
      <c r="D116" s="10" t="s">
        <v>419</v>
      </c>
    </row>
    <row r="117" spans="4:4" outlineLevel="1">
      <c r="D117" s="10" t="s">
        <v>420</v>
      </c>
    </row>
    <row r="118" spans="4:4" outlineLevel="1">
      <c r="D118" s="10" t="s">
        <v>421</v>
      </c>
    </row>
    <row r="119" spans="4:4" outlineLevel="1">
      <c r="D119" s="10" t="s">
        <v>330</v>
      </c>
    </row>
    <row r="120" spans="4:4" outlineLevel="1">
      <c r="D120" s="10" t="s">
        <v>422</v>
      </c>
    </row>
    <row r="121" spans="4:4" outlineLevel="1"/>
  </sheetData>
  <sortState xmlns:xlrd2="http://schemas.microsoft.com/office/spreadsheetml/2017/richdata2" ref="D28:D41">
    <sortCondition ref="D28:D41"/>
  </sortState>
  <conditionalFormatting sqref="D19:D25">
    <cfRule type="cellIs" dxfId="9" priority="18" operator="equal">
      <formula>"Certificate not required as application has been rejected."</formula>
    </cfRule>
  </conditionalFormatting>
  <conditionalFormatting sqref="D19:D25">
    <cfRule type="cellIs" dxfId="8" priority="838" operator="equal">
      <formula>#REF!</formula>
    </cfRule>
    <cfRule type="cellIs" dxfId="7" priority="839" operator="equal">
      <formula>#REF!</formula>
    </cfRule>
    <cfRule type="cellIs" dxfId="6" priority="840" operator="equal">
      <formula>#REF!</formula>
    </cfRule>
    <cfRule type="cellIs" dxfId="5" priority="841" operator="equal">
      <formula>#REF!</formula>
    </cfRule>
    <cfRule type="cellIs" dxfId="4" priority="842" operator="equal">
      <formula>#REF!</formula>
    </cfRule>
    <cfRule type="cellIs" dxfId="3" priority="843" operator="equal">
      <formula>#REF!</formula>
    </cfRule>
    <cfRule type="cellIs" dxfId="2" priority="844" operator="equal">
      <formula>#REF!</formula>
    </cfRule>
  </conditionalFormatting>
  <conditionalFormatting sqref="D102:D104 D106:D120">
    <cfRule type="cellIs" dxfId="1" priority="3" stopIfTrue="1" operator="equal">
      <formula>"N/A"</formula>
    </cfRule>
  </conditionalFormatting>
  <conditionalFormatting sqref="D105">
    <cfRule type="cellIs" dxfId="0" priority="1" stopIfTrue="1" operator="equal">
      <formula>"N/A"</formula>
    </cfRule>
  </conditionalFormatting>
  <pageMargins left="0.70866141732283472" right="0.70866141732283472" top="0.74803149606299213" bottom="0.74803149606299213" header="0.31496062992125984" footer="0.31496062992125984"/>
  <pageSetup paperSize="9" scale="34" fitToHeight="3" orientation="portrait" r:id="rId1"/>
  <extLst>
    <ext xmlns:x14="http://schemas.microsoft.com/office/spreadsheetml/2009/9/main" uri="{78C0D931-6437-407d-A8EE-F0AAD7539E65}">
      <x14:conditionalFormattings>
        <x14:conditionalFormatting xmlns:xm="http://schemas.microsoft.com/office/excel/2006/main">
          <x14:cfRule type="expression" priority="2" id="{23580EE6-7A5D-4312-8A71-81689952B824}">
            <xm:f>IF('3. Registration'!U5&lt;&gt;$D$12,"","")</xm:f>
            <x14:dxf/>
          </x14:cfRule>
          <xm:sqref>AR20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12"/>
  <sheetViews>
    <sheetView workbookViewId="0">
      <selection activeCell="D21" sqref="D21"/>
    </sheetView>
  </sheetViews>
  <sheetFormatPr defaultRowHeight="13.15"/>
  <cols>
    <col min="1" max="1" width="39.7109375" style="212" customWidth="1"/>
    <col min="2" max="2" width="23.28515625" style="212" bestFit="1" customWidth="1"/>
    <col min="3" max="256" width="9.140625" style="212"/>
    <col min="257" max="257" width="39.7109375" style="212" customWidth="1"/>
    <col min="258" max="258" width="23.28515625" style="212" bestFit="1" customWidth="1"/>
    <col min="259" max="512" width="9.140625" style="212"/>
    <col min="513" max="513" width="39.7109375" style="212" customWidth="1"/>
    <col min="514" max="514" width="23.28515625" style="212" bestFit="1" customWidth="1"/>
    <col min="515" max="768" width="9.140625" style="212"/>
    <col min="769" max="769" width="39.7109375" style="212" customWidth="1"/>
    <col min="770" max="770" width="23.28515625" style="212" bestFit="1" customWidth="1"/>
    <col min="771" max="1024" width="9.140625" style="212"/>
    <col min="1025" max="1025" width="39.7109375" style="212" customWidth="1"/>
    <col min="1026" max="1026" width="23.28515625" style="212" bestFit="1" customWidth="1"/>
    <col min="1027" max="1280" width="9.140625" style="212"/>
    <col min="1281" max="1281" width="39.7109375" style="212" customWidth="1"/>
    <col min="1282" max="1282" width="23.28515625" style="212" bestFit="1" customWidth="1"/>
    <col min="1283" max="1536" width="9.140625" style="212"/>
    <col min="1537" max="1537" width="39.7109375" style="212" customWidth="1"/>
    <col min="1538" max="1538" width="23.28515625" style="212" bestFit="1" customWidth="1"/>
    <col min="1539" max="1792" width="9.140625" style="212"/>
    <col min="1793" max="1793" width="39.7109375" style="212" customWidth="1"/>
    <col min="1794" max="1794" width="23.28515625" style="212" bestFit="1" customWidth="1"/>
    <col min="1795" max="2048" width="9.140625" style="212"/>
    <col min="2049" max="2049" width="39.7109375" style="212" customWidth="1"/>
    <col min="2050" max="2050" width="23.28515625" style="212" bestFit="1" customWidth="1"/>
    <col min="2051" max="2304" width="9.140625" style="212"/>
    <col min="2305" max="2305" width="39.7109375" style="212" customWidth="1"/>
    <col min="2306" max="2306" width="23.28515625" style="212" bestFit="1" customWidth="1"/>
    <col min="2307" max="2560" width="9.140625" style="212"/>
    <col min="2561" max="2561" width="39.7109375" style="212" customWidth="1"/>
    <col min="2562" max="2562" width="23.28515625" style="212" bestFit="1" customWidth="1"/>
    <col min="2563" max="2816" width="9.140625" style="212"/>
    <col min="2817" max="2817" width="39.7109375" style="212" customWidth="1"/>
    <col min="2818" max="2818" width="23.28515625" style="212" bestFit="1" customWidth="1"/>
    <col min="2819" max="3072" width="9.140625" style="212"/>
    <col min="3073" max="3073" width="39.7109375" style="212" customWidth="1"/>
    <col min="3074" max="3074" width="23.28515625" style="212" bestFit="1" customWidth="1"/>
    <col min="3075" max="3328" width="9.140625" style="212"/>
    <col min="3329" max="3329" width="39.7109375" style="212" customWidth="1"/>
    <col min="3330" max="3330" width="23.28515625" style="212" bestFit="1" customWidth="1"/>
    <col min="3331" max="3584" width="9.140625" style="212"/>
    <col min="3585" max="3585" width="39.7109375" style="212" customWidth="1"/>
    <col min="3586" max="3586" width="23.28515625" style="212" bestFit="1" customWidth="1"/>
    <col min="3587" max="3840" width="9.140625" style="212"/>
    <col min="3841" max="3841" width="39.7109375" style="212" customWidth="1"/>
    <col min="3842" max="3842" width="23.28515625" style="212" bestFit="1" customWidth="1"/>
    <col min="3843" max="4096" width="9.140625" style="212"/>
    <col min="4097" max="4097" width="39.7109375" style="212" customWidth="1"/>
    <col min="4098" max="4098" width="23.28515625" style="212" bestFit="1" customWidth="1"/>
    <col min="4099" max="4352" width="9.140625" style="212"/>
    <col min="4353" max="4353" width="39.7109375" style="212" customWidth="1"/>
    <col min="4354" max="4354" width="23.28515625" style="212" bestFit="1" customWidth="1"/>
    <col min="4355" max="4608" width="9.140625" style="212"/>
    <col min="4609" max="4609" width="39.7109375" style="212" customWidth="1"/>
    <col min="4610" max="4610" width="23.28515625" style="212" bestFit="1" customWidth="1"/>
    <col min="4611" max="4864" width="9.140625" style="212"/>
    <col min="4865" max="4865" width="39.7109375" style="212" customWidth="1"/>
    <col min="4866" max="4866" width="23.28515625" style="212" bestFit="1" customWidth="1"/>
    <col min="4867" max="5120" width="9.140625" style="212"/>
    <col min="5121" max="5121" width="39.7109375" style="212" customWidth="1"/>
    <col min="5122" max="5122" width="23.28515625" style="212" bestFit="1" customWidth="1"/>
    <col min="5123" max="5376" width="9.140625" style="212"/>
    <col min="5377" max="5377" width="39.7109375" style="212" customWidth="1"/>
    <col min="5378" max="5378" width="23.28515625" style="212" bestFit="1" customWidth="1"/>
    <col min="5379" max="5632" width="9.140625" style="212"/>
    <col min="5633" max="5633" width="39.7109375" style="212" customWidth="1"/>
    <col min="5634" max="5634" width="23.28515625" style="212" bestFit="1" customWidth="1"/>
    <col min="5635" max="5888" width="9.140625" style="212"/>
    <col min="5889" max="5889" width="39.7109375" style="212" customWidth="1"/>
    <col min="5890" max="5890" width="23.28515625" style="212" bestFit="1" customWidth="1"/>
    <col min="5891" max="6144" width="9.140625" style="212"/>
    <col min="6145" max="6145" width="39.7109375" style="212" customWidth="1"/>
    <col min="6146" max="6146" width="23.28515625" style="212" bestFit="1" customWidth="1"/>
    <col min="6147" max="6400" width="9.140625" style="212"/>
    <col min="6401" max="6401" width="39.7109375" style="212" customWidth="1"/>
    <col min="6402" max="6402" width="23.28515625" style="212" bestFit="1" customWidth="1"/>
    <col min="6403" max="6656" width="9.140625" style="212"/>
    <col min="6657" max="6657" width="39.7109375" style="212" customWidth="1"/>
    <col min="6658" max="6658" width="23.28515625" style="212" bestFit="1" customWidth="1"/>
    <col min="6659" max="6912" width="9.140625" style="212"/>
    <col min="6913" max="6913" width="39.7109375" style="212" customWidth="1"/>
    <col min="6914" max="6914" width="23.28515625" style="212" bestFit="1" customWidth="1"/>
    <col min="6915" max="7168" width="9.140625" style="212"/>
    <col min="7169" max="7169" width="39.7109375" style="212" customWidth="1"/>
    <col min="7170" max="7170" width="23.28515625" style="212" bestFit="1" customWidth="1"/>
    <col min="7171" max="7424" width="9.140625" style="212"/>
    <col min="7425" max="7425" width="39.7109375" style="212" customWidth="1"/>
    <col min="7426" max="7426" width="23.28515625" style="212" bestFit="1" customWidth="1"/>
    <col min="7427" max="7680" width="9.140625" style="212"/>
    <col min="7681" max="7681" width="39.7109375" style="212" customWidth="1"/>
    <col min="7682" max="7682" width="23.28515625" style="212" bestFit="1" customWidth="1"/>
    <col min="7683" max="7936" width="9.140625" style="212"/>
    <col min="7937" max="7937" width="39.7109375" style="212" customWidth="1"/>
    <col min="7938" max="7938" width="23.28515625" style="212" bestFit="1" customWidth="1"/>
    <col min="7939" max="8192" width="9.140625" style="212"/>
    <col min="8193" max="8193" width="39.7109375" style="212" customWidth="1"/>
    <col min="8194" max="8194" width="23.28515625" style="212" bestFit="1" customWidth="1"/>
    <col min="8195" max="8448" width="9.140625" style="212"/>
    <col min="8449" max="8449" width="39.7109375" style="212" customWidth="1"/>
    <col min="8450" max="8450" width="23.28515625" style="212" bestFit="1" customWidth="1"/>
    <col min="8451" max="8704" width="9.140625" style="212"/>
    <col min="8705" max="8705" width="39.7109375" style="212" customWidth="1"/>
    <col min="8706" max="8706" width="23.28515625" style="212" bestFit="1" customWidth="1"/>
    <col min="8707" max="8960" width="9.140625" style="212"/>
    <col min="8961" max="8961" width="39.7109375" style="212" customWidth="1"/>
    <col min="8962" max="8962" width="23.28515625" style="212" bestFit="1" customWidth="1"/>
    <col min="8963" max="9216" width="9.140625" style="212"/>
    <col min="9217" max="9217" width="39.7109375" style="212" customWidth="1"/>
    <col min="9218" max="9218" width="23.28515625" style="212" bestFit="1" customWidth="1"/>
    <col min="9219" max="9472" width="9.140625" style="212"/>
    <col min="9473" max="9473" width="39.7109375" style="212" customWidth="1"/>
    <col min="9474" max="9474" width="23.28515625" style="212" bestFit="1" customWidth="1"/>
    <col min="9475" max="9728" width="9.140625" style="212"/>
    <col min="9729" max="9729" width="39.7109375" style="212" customWidth="1"/>
    <col min="9730" max="9730" width="23.28515625" style="212" bestFit="1" customWidth="1"/>
    <col min="9731" max="9984" width="9.140625" style="212"/>
    <col min="9985" max="9985" width="39.7109375" style="212" customWidth="1"/>
    <col min="9986" max="9986" width="23.28515625" style="212" bestFit="1" customWidth="1"/>
    <col min="9987" max="10240" width="9.140625" style="212"/>
    <col min="10241" max="10241" width="39.7109375" style="212" customWidth="1"/>
    <col min="10242" max="10242" width="23.28515625" style="212" bestFit="1" customWidth="1"/>
    <col min="10243" max="10496" width="9.140625" style="212"/>
    <col min="10497" max="10497" width="39.7109375" style="212" customWidth="1"/>
    <col min="10498" max="10498" width="23.28515625" style="212" bestFit="1" customWidth="1"/>
    <col min="10499" max="10752" width="9.140625" style="212"/>
    <col min="10753" max="10753" width="39.7109375" style="212" customWidth="1"/>
    <col min="10754" max="10754" width="23.28515625" style="212" bestFit="1" customWidth="1"/>
    <col min="10755" max="11008" width="9.140625" style="212"/>
    <col min="11009" max="11009" width="39.7109375" style="212" customWidth="1"/>
    <col min="11010" max="11010" width="23.28515625" style="212" bestFit="1" customWidth="1"/>
    <col min="11011" max="11264" width="9.140625" style="212"/>
    <col min="11265" max="11265" width="39.7109375" style="212" customWidth="1"/>
    <col min="11266" max="11266" width="23.28515625" style="212" bestFit="1" customWidth="1"/>
    <col min="11267" max="11520" width="9.140625" style="212"/>
    <col min="11521" max="11521" width="39.7109375" style="212" customWidth="1"/>
    <col min="11522" max="11522" width="23.28515625" style="212" bestFit="1" customWidth="1"/>
    <col min="11523" max="11776" width="9.140625" style="212"/>
    <col min="11777" max="11777" width="39.7109375" style="212" customWidth="1"/>
    <col min="11778" max="11778" width="23.28515625" style="212" bestFit="1" customWidth="1"/>
    <col min="11779" max="12032" width="9.140625" style="212"/>
    <col min="12033" max="12033" width="39.7109375" style="212" customWidth="1"/>
    <col min="12034" max="12034" width="23.28515625" style="212" bestFit="1" customWidth="1"/>
    <col min="12035" max="12288" width="9.140625" style="212"/>
    <col min="12289" max="12289" width="39.7109375" style="212" customWidth="1"/>
    <col min="12290" max="12290" width="23.28515625" style="212" bestFit="1" customWidth="1"/>
    <col min="12291" max="12544" width="9.140625" style="212"/>
    <col min="12545" max="12545" width="39.7109375" style="212" customWidth="1"/>
    <col min="12546" max="12546" width="23.28515625" style="212" bestFit="1" customWidth="1"/>
    <col min="12547" max="12800" width="9.140625" style="212"/>
    <col min="12801" max="12801" width="39.7109375" style="212" customWidth="1"/>
    <col min="12802" max="12802" width="23.28515625" style="212" bestFit="1" customWidth="1"/>
    <col min="12803" max="13056" width="9.140625" style="212"/>
    <col min="13057" max="13057" width="39.7109375" style="212" customWidth="1"/>
    <col min="13058" max="13058" width="23.28515625" style="212" bestFit="1" customWidth="1"/>
    <col min="13059" max="13312" width="9.140625" style="212"/>
    <col min="13313" max="13313" width="39.7109375" style="212" customWidth="1"/>
    <col min="13314" max="13314" width="23.28515625" style="212" bestFit="1" customWidth="1"/>
    <col min="13315" max="13568" width="9.140625" style="212"/>
    <col min="13569" max="13569" width="39.7109375" style="212" customWidth="1"/>
    <col min="13570" max="13570" width="23.28515625" style="212" bestFit="1" customWidth="1"/>
    <col min="13571" max="13824" width="9.140625" style="212"/>
    <col min="13825" max="13825" width="39.7109375" style="212" customWidth="1"/>
    <col min="13826" max="13826" width="23.28515625" style="212" bestFit="1" customWidth="1"/>
    <col min="13827" max="14080" width="9.140625" style="212"/>
    <col min="14081" max="14081" width="39.7109375" style="212" customWidth="1"/>
    <col min="14082" max="14082" width="23.28515625" style="212" bestFit="1" customWidth="1"/>
    <col min="14083" max="14336" width="9.140625" style="212"/>
    <col min="14337" max="14337" width="39.7109375" style="212" customWidth="1"/>
    <col min="14338" max="14338" width="23.28515625" style="212" bestFit="1" customWidth="1"/>
    <col min="14339" max="14592" width="9.140625" style="212"/>
    <col min="14593" max="14593" width="39.7109375" style="212" customWidth="1"/>
    <col min="14594" max="14594" width="23.28515625" style="212" bestFit="1" customWidth="1"/>
    <col min="14595" max="14848" width="9.140625" style="212"/>
    <col min="14849" max="14849" width="39.7109375" style="212" customWidth="1"/>
    <col min="14850" max="14850" width="23.28515625" style="212" bestFit="1" customWidth="1"/>
    <col min="14851" max="15104" width="9.140625" style="212"/>
    <col min="15105" max="15105" width="39.7109375" style="212" customWidth="1"/>
    <col min="15106" max="15106" width="23.28515625" style="212" bestFit="1" customWidth="1"/>
    <col min="15107" max="15360" width="9.140625" style="212"/>
    <col min="15361" max="15361" width="39.7109375" style="212" customWidth="1"/>
    <col min="15362" max="15362" width="23.28515625" style="212" bestFit="1" customWidth="1"/>
    <col min="15363" max="15616" width="9.140625" style="212"/>
    <col min="15617" max="15617" width="39.7109375" style="212" customWidth="1"/>
    <col min="15618" max="15618" width="23.28515625" style="212" bestFit="1" customWidth="1"/>
    <col min="15619" max="15872" width="9.140625" style="212"/>
    <col min="15873" max="15873" width="39.7109375" style="212" customWidth="1"/>
    <col min="15874" max="15874" width="23.28515625" style="212" bestFit="1" customWidth="1"/>
    <col min="15875" max="16128" width="9.140625" style="212"/>
    <col min="16129" max="16129" width="39.7109375" style="212" customWidth="1"/>
    <col min="16130" max="16130" width="23.28515625" style="212" bestFit="1" customWidth="1"/>
    <col min="16131" max="16384" width="9.140625" style="212"/>
  </cols>
  <sheetData>
    <row r="1" spans="1:8" ht="15.6">
      <c r="A1" s="255" t="s">
        <v>423</v>
      </c>
      <c r="B1" s="256"/>
      <c r="C1" s="256"/>
      <c r="D1" s="256"/>
      <c r="E1" s="257"/>
      <c r="F1" s="257"/>
      <c r="G1" s="257"/>
      <c r="H1" s="257"/>
    </row>
    <row r="2" spans="1:8">
      <c r="A2" s="257"/>
      <c r="B2" s="257"/>
      <c r="C2" s="257"/>
      <c r="D2" s="257"/>
      <c r="E2" s="257"/>
      <c r="F2" s="257"/>
      <c r="G2" s="257"/>
      <c r="H2" s="257"/>
    </row>
    <row r="3" spans="1:8">
      <c r="A3" s="258" t="s">
        <v>424</v>
      </c>
      <c r="B3" s="259"/>
      <c r="C3" s="260"/>
      <c r="D3" s="259"/>
      <c r="E3" s="257"/>
      <c r="F3" s="257"/>
      <c r="G3" s="257"/>
      <c r="H3" s="257"/>
    </row>
    <row r="4" spans="1:8">
      <c r="A4" s="257"/>
      <c r="B4" s="257"/>
      <c r="C4" s="257"/>
      <c r="D4" s="257"/>
      <c r="E4" s="257"/>
      <c r="F4" s="257"/>
      <c r="G4" s="257"/>
      <c r="H4" s="257"/>
    </row>
    <row r="5" spans="1:8">
      <c r="A5" s="259" t="s">
        <v>425</v>
      </c>
      <c r="B5" s="259" t="s">
        <v>426</v>
      </c>
      <c r="C5" s="259" t="s">
        <v>427</v>
      </c>
      <c r="D5" s="259" t="s">
        <v>428</v>
      </c>
      <c r="E5" s="257"/>
      <c r="F5" s="257"/>
      <c r="G5" s="257"/>
      <c r="H5" s="257"/>
    </row>
    <row r="6" spans="1:8">
      <c r="A6" s="261" t="s">
        <v>429</v>
      </c>
      <c r="B6" s="262"/>
      <c r="C6" s="262" t="s">
        <v>430</v>
      </c>
      <c r="D6" s="263">
        <v>3.8460000000000001</v>
      </c>
      <c r="E6" s="257"/>
      <c r="F6" s="257"/>
      <c r="G6" s="257"/>
      <c r="H6" s="257"/>
    </row>
    <row r="7" spans="1:8">
      <c r="A7" s="259"/>
      <c r="B7" s="259"/>
      <c r="C7" s="259"/>
      <c r="D7" s="259"/>
      <c r="E7" s="257"/>
      <c r="F7" s="257"/>
      <c r="G7" s="257"/>
      <c r="H7" s="257"/>
    </row>
    <row r="8" spans="1:8">
      <c r="A8" s="264" t="s">
        <v>431</v>
      </c>
      <c r="B8" s="259"/>
      <c r="C8" s="259"/>
      <c r="D8" s="259"/>
      <c r="E8" s="257"/>
      <c r="F8" s="257"/>
      <c r="G8" s="257"/>
      <c r="H8" s="257"/>
    </row>
    <row r="9" spans="1:8">
      <c r="A9" s="261" t="s">
        <v>432</v>
      </c>
      <c r="B9" s="257"/>
      <c r="C9" s="262" t="s">
        <v>433</v>
      </c>
      <c r="D9" s="263">
        <v>136.32</v>
      </c>
      <c r="E9" s="257"/>
      <c r="F9" s="257"/>
      <c r="G9" s="257"/>
      <c r="H9" s="257"/>
    </row>
    <row r="10" spans="1:8">
      <c r="A10" s="257" t="s">
        <v>434</v>
      </c>
      <c r="B10" s="257" t="s">
        <v>435</v>
      </c>
      <c r="C10" s="262" t="s">
        <v>436</v>
      </c>
      <c r="D10" s="263">
        <v>241.84</v>
      </c>
      <c r="E10" s="257"/>
      <c r="F10" s="257"/>
      <c r="G10" s="257"/>
      <c r="H10" s="257"/>
    </row>
    <row r="11" spans="1:8">
      <c r="A11" s="257" t="s">
        <v>437</v>
      </c>
      <c r="B11" s="257"/>
      <c r="C11" s="262" t="s">
        <v>436</v>
      </c>
      <c r="D11" s="263">
        <v>106.25</v>
      </c>
      <c r="E11" s="257" t="s">
        <v>438</v>
      </c>
      <c r="F11" s="265">
        <v>58.09</v>
      </c>
      <c r="G11" s="257"/>
      <c r="H11" s="257"/>
    </row>
    <row r="12" spans="1:8">
      <c r="A12" s="257" t="s">
        <v>439</v>
      </c>
      <c r="B12" s="257"/>
      <c r="C12" s="262" t="s">
        <v>436</v>
      </c>
      <c r="D12" s="263">
        <v>0</v>
      </c>
      <c r="E12" s="257" t="s">
        <v>440</v>
      </c>
      <c r="F12" s="257"/>
      <c r="G12" s="257"/>
      <c r="H12" s="257"/>
    </row>
    <row r="13" spans="1:8">
      <c r="A13" s="257" t="s">
        <v>441</v>
      </c>
      <c r="B13" s="257"/>
      <c r="C13" s="262" t="s">
        <v>433</v>
      </c>
      <c r="D13" s="263">
        <v>149.82</v>
      </c>
      <c r="E13" s="257" t="s">
        <v>442</v>
      </c>
      <c r="F13" s="257"/>
      <c r="G13" s="257"/>
      <c r="H13" s="257"/>
    </row>
    <row r="14" spans="1:8">
      <c r="A14" s="257" t="s">
        <v>443</v>
      </c>
      <c r="B14" s="257"/>
      <c r="C14" s="262" t="s">
        <v>436</v>
      </c>
      <c r="D14" s="263">
        <v>27.36</v>
      </c>
      <c r="E14" s="257"/>
      <c r="F14" s="257"/>
      <c r="G14" s="257"/>
      <c r="H14" s="257"/>
    </row>
    <row r="15" spans="1:8">
      <c r="A15" s="257" t="s">
        <v>444</v>
      </c>
      <c r="B15" s="257" t="s">
        <v>445</v>
      </c>
      <c r="C15" s="262" t="s">
        <v>436</v>
      </c>
      <c r="D15" s="263">
        <v>318.23</v>
      </c>
      <c r="E15" s="257" t="s">
        <v>442</v>
      </c>
      <c r="F15" s="257"/>
      <c r="G15" s="257"/>
      <c r="H15" s="257"/>
    </row>
    <row r="16" spans="1:8">
      <c r="A16" s="257"/>
      <c r="B16" s="257" t="s">
        <v>446</v>
      </c>
      <c r="C16" s="262" t="s">
        <v>436</v>
      </c>
      <c r="D16" s="263">
        <v>747.89</v>
      </c>
      <c r="E16" s="257" t="s">
        <v>442</v>
      </c>
      <c r="F16" s="257"/>
      <c r="G16" s="330" t="s">
        <v>447</v>
      </c>
      <c r="H16" s="257" t="s">
        <v>448</v>
      </c>
    </row>
    <row r="17" spans="1:8">
      <c r="A17" s="257"/>
      <c r="B17" s="257" t="s">
        <v>449</v>
      </c>
      <c r="C17" s="262" t="s">
        <v>436</v>
      </c>
      <c r="D17" s="263" t="s">
        <v>450</v>
      </c>
      <c r="E17" s="257" t="s">
        <v>442</v>
      </c>
      <c r="F17" s="257"/>
      <c r="G17" s="257"/>
      <c r="H17" s="257"/>
    </row>
    <row r="18" spans="1:8">
      <c r="A18" s="257"/>
      <c r="B18" s="257" t="s">
        <v>451</v>
      </c>
      <c r="C18" s="262" t="s">
        <v>436</v>
      </c>
      <c r="D18" s="263" t="s">
        <v>450</v>
      </c>
      <c r="E18" s="257" t="s">
        <v>442</v>
      </c>
      <c r="F18" s="257"/>
      <c r="G18" s="257"/>
      <c r="H18" s="257"/>
    </row>
    <row r="19" spans="1:8">
      <c r="A19" s="257" t="s">
        <v>452</v>
      </c>
      <c r="B19" s="257"/>
      <c r="C19" s="262" t="s">
        <v>453</v>
      </c>
      <c r="D19" s="263">
        <v>1.61</v>
      </c>
      <c r="E19" s="257"/>
      <c r="F19" s="257"/>
      <c r="G19" s="266"/>
      <c r="H19" s="257"/>
    </row>
    <row r="20" spans="1:8">
      <c r="A20" s="257" t="s">
        <v>454</v>
      </c>
      <c r="B20" s="257"/>
      <c r="C20" s="262" t="s">
        <v>433</v>
      </c>
      <c r="D20" s="263">
        <v>136.32</v>
      </c>
      <c r="E20" s="257"/>
      <c r="F20" s="257"/>
      <c r="G20" s="257"/>
      <c r="H20" s="257"/>
    </row>
    <row r="21" spans="1:8">
      <c r="A21" s="257" t="s">
        <v>455</v>
      </c>
      <c r="B21" s="257"/>
      <c r="C21" s="262" t="s">
        <v>433</v>
      </c>
      <c r="D21" s="336">
        <v>170.59</v>
      </c>
      <c r="E21" s="257"/>
      <c r="F21" s="257"/>
      <c r="G21" s="257"/>
      <c r="H21" s="257"/>
    </row>
    <row r="22" spans="1:8">
      <c r="A22" s="264" t="s">
        <v>456</v>
      </c>
      <c r="B22" s="257"/>
      <c r="C22" s="262"/>
      <c r="D22" s="263"/>
      <c r="E22" s="257"/>
      <c r="F22" s="257"/>
      <c r="G22" s="257"/>
      <c r="H22" s="257"/>
    </row>
    <row r="23" spans="1:8">
      <c r="A23" s="257" t="s">
        <v>457</v>
      </c>
      <c r="B23" s="257" t="s">
        <v>458</v>
      </c>
      <c r="C23" s="262" t="s">
        <v>430</v>
      </c>
      <c r="D23" s="267">
        <v>1.5089999999999999</v>
      </c>
      <c r="E23" s="257"/>
      <c r="F23" s="257"/>
      <c r="G23" s="257"/>
      <c r="H23" s="257"/>
    </row>
    <row r="24" spans="1:8">
      <c r="A24" s="257" t="s">
        <v>459</v>
      </c>
      <c r="B24" s="257" t="s">
        <v>460</v>
      </c>
      <c r="C24" s="262" t="s">
        <v>461</v>
      </c>
      <c r="D24" s="267">
        <v>1.2589999999999999</v>
      </c>
      <c r="E24" s="257"/>
      <c r="F24" s="257"/>
      <c r="G24" s="257"/>
      <c r="H24" s="257"/>
    </row>
    <row r="25" spans="1:8">
      <c r="A25" s="257"/>
      <c r="B25" s="257" t="s">
        <v>462</v>
      </c>
      <c r="C25" s="262" t="s">
        <v>461</v>
      </c>
      <c r="D25" s="267">
        <v>2.57</v>
      </c>
      <c r="E25" s="257"/>
      <c r="F25" s="257"/>
      <c r="G25" s="257"/>
      <c r="H25" s="257"/>
    </row>
    <row r="26" spans="1:8">
      <c r="A26" s="257" t="s">
        <v>463</v>
      </c>
      <c r="B26" s="257" t="s">
        <v>464</v>
      </c>
      <c r="C26" s="262" t="s">
        <v>461</v>
      </c>
      <c r="D26" s="267">
        <v>0.49</v>
      </c>
      <c r="E26" s="257"/>
      <c r="F26" s="257"/>
      <c r="G26" s="257"/>
      <c r="H26" s="257"/>
    </row>
    <row r="27" spans="1:8">
      <c r="A27" s="257"/>
      <c r="B27" s="257" t="s">
        <v>465</v>
      </c>
      <c r="C27" s="262" t="s">
        <v>461</v>
      </c>
      <c r="D27" s="267">
        <v>1</v>
      </c>
      <c r="E27" s="257"/>
      <c r="F27" s="257"/>
      <c r="G27" s="257"/>
      <c r="H27" s="257"/>
    </row>
    <row r="28" spans="1:8">
      <c r="A28" s="257" t="s">
        <v>466</v>
      </c>
      <c r="B28" s="257" t="s">
        <v>467</v>
      </c>
      <c r="C28" s="262" t="s">
        <v>461</v>
      </c>
      <c r="D28" s="267">
        <v>1.7170000000000001</v>
      </c>
      <c r="E28" s="257"/>
      <c r="F28" s="257"/>
      <c r="G28" s="257"/>
      <c r="H28" s="257"/>
    </row>
    <row r="29" spans="1:8">
      <c r="A29" s="257"/>
      <c r="B29" s="257" t="s">
        <v>468</v>
      </c>
      <c r="C29" s="262" t="s">
        <v>461</v>
      </c>
      <c r="D29" s="267">
        <v>3.4540000000000002</v>
      </c>
      <c r="E29" s="257"/>
      <c r="F29" s="257"/>
      <c r="G29" s="257"/>
      <c r="H29" s="257"/>
    </row>
    <row r="30" spans="1:8">
      <c r="A30" s="257" t="s">
        <v>469</v>
      </c>
      <c r="B30" s="257" t="s">
        <v>470</v>
      </c>
      <c r="C30" s="262" t="s">
        <v>461</v>
      </c>
      <c r="D30" s="267">
        <v>1.55</v>
      </c>
      <c r="E30" s="257"/>
      <c r="F30" s="257"/>
      <c r="G30" s="257"/>
      <c r="H30" s="257"/>
    </row>
    <row r="31" spans="1:8">
      <c r="A31" s="257"/>
      <c r="B31" s="257" t="s">
        <v>471</v>
      </c>
      <c r="C31" s="262" t="s">
        <v>461</v>
      </c>
      <c r="D31" s="267">
        <v>3.0379999999999998</v>
      </c>
      <c r="E31" s="257"/>
      <c r="F31" s="257"/>
      <c r="G31" s="257"/>
      <c r="H31" s="257"/>
    </row>
    <row r="32" spans="1:8">
      <c r="A32" s="257"/>
      <c r="B32" s="257" t="s">
        <v>472</v>
      </c>
      <c r="C32" s="262" t="s">
        <v>461</v>
      </c>
      <c r="D32" s="267">
        <v>6.1280000000000001</v>
      </c>
      <c r="E32" s="257"/>
      <c r="F32" s="257"/>
      <c r="G32" s="257"/>
      <c r="H32" s="257"/>
    </row>
    <row r="33" spans="1:8">
      <c r="A33" s="257" t="s">
        <v>473</v>
      </c>
      <c r="B33" s="257" t="s">
        <v>474</v>
      </c>
      <c r="C33" s="262" t="s">
        <v>475</v>
      </c>
      <c r="D33" s="267">
        <v>0.42699999999999999</v>
      </c>
      <c r="E33" s="257"/>
      <c r="F33" s="257"/>
      <c r="G33" s="257"/>
      <c r="H33" s="257"/>
    </row>
    <row r="34" spans="1:8">
      <c r="A34" s="257"/>
      <c r="B34" s="257" t="s">
        <v>476</v>
      </c>
      <c r="C34" s="262" t="s">
        <v>475</v>
      </c>
      <c r="D34" s="267">
        <v>0.89500000000000002</v>
      </c>
      <c r="E34" s="257"/>
      <c r="F34" s="257"/>
      <c r="G34" s="257"/>
      <c r="H34" s="257"/>
    </row>
    <row r="35" spans="1:8">
      <c r="A35" s="257"/>
      <c r="B35" s="257" t="s">
        <v>477</v>
      </c>
      <c r="C35" s="262" t="s">
        <v>475</v>
      </c>
      <c r="D35" s="267">
        <v>1.7789999999999999</v>
      </c>
      <c r="E35" s="257"/>
      <c r="F35" s="257"/>
      <c r="G35" s="257"/>
      <c r="H35" s="257"/>
    </row>
    <row r="36" spans="1:8">
      <c r="A36" s="257" t="s">
        <v>478</v>
      </c>
      <c r="B36" s="257" t="s">
        <v>474</v>
      </c>
      <c r="C36" s="262" t="s">
        <v>475</v>
      </c>
      <c r="D36" s="267">
        <v>0.13500000000000001</v>
      </c>
      <c r="E36" s="257"/>
      <c r="F36" s="257"/>
      <c r="G36" s="257"/>
      <c r="H36" s="257"/>
    </row>
    <row r="37" spans="1:8">
      <c r="A37" s="257"/>
      <c r="B37" s="257" t="s">
        <v>479</v>
      </c>
      <c r="C37" s="262" t="s">
        <v>475</v>
      </c>
      <c r="D37" s="267">
        <v>0.32300000000000001</v>
      </c>
      <c r="E37" s="257"/>
      <c r="F37" s="257"/>
      <c r="G37" s="257"/>
      <c r="H37" s="257"/>
    </row>
    <row r="38" spans="1:8">
      <c r="A38" s="257"/>
      <c r="B38" s="257" t="s">
        <v>480</v>
      </c>
      <c r="C38" s="262" t="s">
        <v>475</v>
      </c>
      <c r="D38" s="267">
        <v>0.64500000000000002</v>
      </c>
      <c r="E38" s="257"/>
      <c r="F38" s="257"/>
      <c r="G38" s="257"/>
      <c r="H38" s="257"/>
    </row>
    <row r="39" spans="1:8">
      <c r="A39" s="257" t="s">
        <v>481</v>
      </c>
      <c r="B39" s="257" t="s">
        <v>458</v>
      </c>
      <c r="C39" s="262" t="s">
        <v>461</v>
      </c>
      <c r="D39" s="267">
        <v>1.373</v>
      </c>
      <c r="E39" s="257"/>
      <c r="F39" s="257"/>
      <c r="G39" s="257"/>
      <c r="H39" s="257"/>
    </row>
    <row r="40" spans="1:8">
      <c r="A40" s="257" t="s">
        <v>482</v>
      </c>
      <c r="B40" s="257" t="s">
        <v>458</v>
      </c>
      <c r="C40" s="262" t="s">
        <v>461</v>
      </c>
      <c r="D40" s="267">
        <v>0.38500000000000001</v>
      </c>
      <c r="E40" s="257"/>
      <c r="F40" s="257"/>
      <c r="G40" s="257"/>
      <c r="H40" s="257"/>
    </row>
    <row r="41" spans="1:8">
      <c r="A41" s="257" t="s">
        <v>483</v>
      </c>
      <c r="B41" s="257" t="s">
        <v>484</v>
      </c>
      <c r="C41" s="262" t="s">
        <v>461</v>
      </c>
      <c r="D41" s="267" t="s">
        <v>485</v>
      </c>
      <c r="E41" s="257"/>
      <c r="F41" s="257"/>
      <c r="G41" s="257"/>
      <c r="H41" s="257"/>
    </row>
    <row r="42" spans="1:8">
      <c r="A42" s="257"/>
      <c r="B42" s="257" t="s">
        <v>486</v>
      </c>
      <c r="C42" s="262" t="s">
        <v>461</v>
      </c>
      <c r="D42" s="267">
        <v>0.72799999999999998</v>
      </c>
      <c r="E42" s="257"/>
      <c r="F42" s="257"/>
      <c r="G42" s="257"/>
      <c r="H42" s="257"/>
    </row>
    <row r="43" spans="1:8">
      <c r="A43" s="257" t="s">
        <v>487</v>
      </c>
      <c r="B43" s="257" t="s">
        <v>488</v>
      </c>
      <c r="C43" s="262" t="s">
        <v>461</v>
      </c>
      <c r="D43" s="267" t="s">
        <v>485</v>
      </c>
      <c r="E43" s="257"/>
      <c r="F43" s="257"/>
      <c r="G43" s="257"/>
      <c r="H43" s="257"/>
    </row>
    <row r="44" spans="1:8">
      <c r="A44" s="257"/>
      <c r="B44" s="257" t="s">
        <v>489</v>
      </c>
      <c r="C44" s="262" t="s">
        <v>461</v>
      </c>
      <c r="D44" s="267">
        <v>1E-3</v>
      </c>
      <c r="E44" s="257"/>
      <c r="F44" s="257"/>
      <c r="G44" s="257"/>
      <c r="H44" s="257"/>
    </row>
    <row r="45" spans="1:8">
      <c r="A45" s="257"/>
      <c r="B45" s="257" t="s">
        <v>490</v>
      </c>
      <c r="C45" s="262" t="s">
        <v>461</v>
      </c>
      <c r="D45" s="267">
        <v>4.1000000000000002E-2</v>
      </c>
      <c r="E45" s="257"/>
      <c r="F45" s="257"/>
      <c r="G45" s="257"/>
      <c r="H45" s="257"/>
    </row>
    <row r="46" spans="1:8">
      <c r="A46" s="257"/>
      <c r="B46" s="257" t="s">
        <v>491</v>
      </c>
      <c r="C46" s="262" t="s">
        <v>461</v>
      </c>
      <c r="D46" s="267">
        <v>0.14499999999999999</v>
      </c>
      <c r="E46" s="257"/>
      <c r="F46" s="257"/>
      <c r="G46" s="257"/>
      <c r="H46" s="257"/>
    </row>
    <row r="47" spans="1:8">
      <c r="A47" s="257" t="s">
        <v>492</v>
      </c>
      <c r="B47" s="257" t="s">
        <v>493</v>
      </c>
      <c r="C47" s="262" t="s">
        <v>461</v>
      </c>
      <c r="D47" s="267">
        <v>11.403</v>
      </c>
      <c r="E47" s="257"/>
      <c r="F47" s="257"/>
      <c r="G47" s="257"/>
      <c r="H47" s="257"/>
    </row>
    <row r="48" spans="1:8">
      <c r="A48" s="257"/>
      <c r="B48" s="257" t="s">
        <v>494</v>
      </c>
      <c r="C48" s="262" t="s">
        <v>461</v>
      </c>
      <c r="D48" s="267">
        <v>22.742999999999999</v>
      </c>
      <c r="E48" s="257"/>
      <c r="F48" s="257"/>
      <c r="G48" s="257"/>
      <c r="H48" s="257"/>
    </row>
    <row r="49" spans="1:8">
      <c r="A49" s="257"/>
      <c r="B49" s="257" t="s">
        <v>495</v>
      </c>
      <c r="C49" s="262" t="s">
        <v>461</v>
      </c>
      <c r="D49" s="267">
        <v>91.129000000000005</v>
      </c>
      <c r="E49" s="257"/>
      <c r="F49" s="257"/>
      <c r="G49" s="257"/>
      <c r="H49" s="257"/>
    </row>
    <row r="50" spans="1:8">
      <c r="A50" s="257" t="s">
        <v>496</v>
      </c>
      <c r="B50" s="257" t="s">
        <v>493</v>
      </c>
      <c r="C50" s="262" t="s">
        <v>461</v>
      </c>
      <c r="D50" s="267">
        <v>11.403</v>
      </c>
      <c r="E50" s="257"/>
      <c r="F50" s="257"/>
      <c r="G50" s="257"/>
      <c r="H50" s="257"/>
    </row>
    <row r="51" spans="1:8">
      <c r="A51" s="257"/>
      <c r="B51" s="257" t="s">
        <v>497</v>
      </c>
      <c r="C51" s="262" t="s">
        <v>461</v>
      </c>
      <c r="D51" s="267">
        <v>22.742999999999999</v>
      </c>
      <c r="E51" s="257"/>
      <c r="F51" s="257"/>
      <c r="G51" s="257"/>
      <c r="H51" s="257"/>
    </row>
    <row r="52" spans="1:8">
      <c r="A52" s="257"/>
      <c r="B52" s="257" t="s">
        <v>498</v>
      </c>
      <c r="C52" s="262" t="s">
        <v>461</v>
      </c>
      <c r="D52" s="267">
        <v>91.129000000000005</v>
      </c>
      <c r="E52" s="257"/>
      <c r="F52" s="257"/>
      <c r="G52" s="257"/>
      <c r="H52" s="257"/>
    </row>
    <row r="53" spans="1:8">
      <c r="A53" s="257" t="s">
        <v>499</v>
      </c>
      <c r="B53" s="257" t="s">
        <v>493</v>
      </c>
      <c r="C53" s="262" t="s">
        <v>461</v>
      </c>
      <c r="D53" s="267">
        <v>11.403</v>
      </c>
      <c r="E53" s="257"/>
      <c r="F53" s="257"/>
      <c r="G53" s="257"/>
      <c r="H53" s="257"/>
    </row>
    <row r="54" spans="1:8">
      <c r="A54" s="257"/>
      <c r="B54" s="257" t="s">
        <v>500</v>
      </c>
      <c r="C54" s="262" t="s">
        <v>461</v>
      </c>
      <c r="D54" s="267">
        <v>22.742999999999999</v>
      </c>
      <c r="E54" s="257"/>
      <c r="F54" s="257"/>
      <c r="G54" s="257"/>
      <c r="H54" s="257"/>
    </row>
    <row r="55" spans="1:8">
      <c r="A55" s="257"/>
      <c r="B55" s="257" t="s">
        <v>501</v>
      </c>
      <c r="C55" s="262" t="s">
        <v>461</v>
      </c>
      <c r="D55" s="267">
        <v>91.129000000000005</v>
      </c>
      <c r="E55" s="257"/>
      <c r="F55" s="257"/>
      <c r="G55" s="257"/>
      <c r="H55" s="257"/>
    </row>
    <row r="56" spans="1:8">
      <c r="A56" s="257" t="s">
        <v>502</v>
      </c>
      <c r="B56" s="257" t="s">
        <v>503</v>
      </c>
      <c r="C56" s="262" t="s">
        <v>461</v>
      </c>
      <c r="D56" s="267">
        <v>11.403</v>
      </c>
      <c r="E56" s="257"/>
      <c r="F56" s="257"/>
      <c r="G56" s="257"/>
      <c r="H56" s="257"/>
    </row>
    <row r="57" spans="1:8">
      <c r="A57" s="257"/>
      <c r="B57" s="257" t="s">
        <v>504</v>
      </c>
      <c r="C57" s="262" t="s">
        <v>461</v>
      </c>
      <c r="D57" s="267">
        <v>22.742999999999999</v>
      </c>
      <c r="E57" s="257"/>
      <c r="F57" s="257"/>
      <c r="G57" s="257"/>
      <c r="H57" s="257"/>
    </row>
    <row r="58" spans="1:8">
      <c r="A58" s="257"/>
      <c r="B58" s="257" t="s">
        <v>505</v>
      </c>
      <c r="C58" s="262" t="s">
        <v>461</v>
      </c>
      <c r="D58" s="267">
        <v>91.129000000000005</v>
      </c>
      <c r="E58" s="257"/>
      <c r="F58" s="257"/>
      <c r="G58" s="257"/>
      <c r="H58" s="257"/>
    </row>
    <row r="59" spans="1:8">
      <c r="A59" s="257" t="s">
        <v>506</v>
      </c>
      <c r="B59" s="257" t="s">
        <v>507</v>
      </c>
      <c r="C59" s="262" t="s">
        <v>461</v>
      </c>
      <c r="D59" s="267">
        <v>11.403</v>
      </c>
      <c r="E59" s="257"/>
      <c r="F59" s="257"/>
      <c r="G59" s="257"/>
      <c r="H59" s="257"/>
    </row>
    <row r="60" spans="1:8">
      <c r="A60" s="257"/>
      <c r="B60" s="257" t="s">
        <v>508</v>
      </c>
      <c r="C60" s="262" t="s">
        <v>461</v>
      </c>
      <c r="D60" s="267">
        <v>22.742999999999999</v>
      </c>
      <c r="E60" s="257"/>
      <c r="F60" s="257"/>
      <c r="G60" s="257"/>
      <c r="H60" s="257"/>
    </row>
    <row r="61" spans="1:8">
      <c r="A61" s="257"/>
      <c r="B61" s="257" t="s">
        <v>509</v>
      </c>
      <c r="C61" s="262" t="s">
        <v>461</v>
      </c>
      <c r="D61" s="267">
        <v>91.129000000000005</v>
      </c>
      <c r="E61" s="257"/>
      <c r="F61" s="257"/>
      <c r="G61" s="257"/>
      <c r="H61" s="257"/>
    </row>
    <row r="62" spans="1:8">
      <c r="A62" s="257" t="s">
        <v>510</v>
      </c>
      <c r="B62" s="257" t="s">
        <v>511</v>
      </c>
      <c r="C62" s="262" t="s">
        <v>461</v>
      </c>
      <c r="D62" s="267">
        <v>11.403</v>
      </c>
      <c r="E62" s="257"/>
      <c r="F62" s="257"/>
      <c r="G62" s="257"/>
      <c r="H62" s="257"/>
    </row>
    <row r="63" spans="1:8">
      <c r="A63" s="257"/>
      <c r="B63" s="257" t="s">
        <v>512</v>
      </c>
      <c r="C63" s="262" t="s">
        <v>461</v>
      </c>
      <c r="D63" s="267">
        <v>113.88200000000001</v>
      </c>
      <c r="E63" s="257"/>
      <c r="F63" s="257"/>
      <c r="G63" s="257"/>
      <c r="H63" s="257"/>
    </row>
    <row r="64" spans="1:8">
      <c r="A64" s="257"/>
      <c r="B64" s="257" t="s">
        <v>513</v>
      </c>
      <c r="C64" s="262" t="s">
        <v>461</v>
      </c>
      <c r="D64" s="267">
        <v>1138.8009999999999</v>
      </c>
      <c r="E64" s="257"/>
      <c r="F64" s="257"/>
      <c r="G64" s="257"/>
      <c r="H64" s="257"/>
    </row>
    <row r="65" spans="1:8">
      <c r="A65" s="257" t="s">
        <v>514</v>
      </c>
      <c r="B65" s="257" t="s">
        <v>511</v>
      </c>
      <c r="C65" s="262" t="s">
        <v>461</v>
      </c>
      <c r="D65" s="267">
        <v>11.403</v>
      </c>
      <c r="E65" s="257"/>
      <c r="F65" s="257"/>
      <c r="G65" s="257"/>
      <c r="H65" s="257"/>
    </row>
    <row r="66" spans="1:8">
      <c r="A66" s="257"/>
      <c r="B66" s="257" t="s">
        <v>515</v>
      </c>
      <c r="C66" s="262" t="s">
        <v>461</v>
      </c>
      <c r="D66" s="267">
        <v>113.88200000000001</v>
      </c>
      <c r="E66" s="257"/>
      <c r="F66" s="257"/>
      <c r="G66" s="257"/>
      <c r="H66" s="257"/>
    </row>
    <row r="67" spans="1:8">
      <c r="A67" s="257"/>
      <c r="B67" s="257" t="s">
        <v>516</v>
      </c>
      <c r="C67" s="262" t="s">
        <v>461</v>
      </c>
      <c r="D67" s="267">
        <v>1138.8009999999999</v>
      </c>
      <c r="E67" s="257"/>
      <c r="F67" s="257"/>
      <c r="G67" s="257"/>
      <c r="H67" s="257"/>
    </row>
    <row r="68" spans="1:8">
      <c r="A68" s="257" t="s">
        <v>517</v>
      </c>
      <c r="B68" s="257" t="s">
        <v>511</v>
      </c>
      <c r="C68" s="262" t="s">
        <v>461</v>
      </c>
      <c r="D68" s="267">
        <v>11.403</v>
      </c>
      <c r="E68" s="257"/>
      <c r="F68" s="257"/>
      <c r="G68" s="257"/>
      <c r="H68" s="257"/>
    </row>
    <row r="69" spans="1:8">
      <c r="A69" s="257"/>
      <c r="B69" s="257" t="s">
        <v>518</v>
      </c>
      <c r="C69" s="262" t="s">
        <v>461</v>
      </c>
      <c r="D69" s="267">
        <v>113.88200000000001</v>
      </c>
      <c r="E69" s="257"/>
      <c r="F69" s="257"/>
      <c r="G69" s="257"/>
      <c r="H69" s="257"/>
    </row>
    <row r="70" spans="1:8">
      <c r="A70" s="257"/>
      <c r="B70" s="257" t="s">
        <v>519</v>
      </c>
      <c r="C70" s="262" t="s">
        <v>461</v>
      </c>
      <c r="D70" s="267">
        <v>1138.8009999999999</v>
      </c>
      <c r="E70" s="257"/>
      <c r="F70" s="257"/>
      <c r="G70" s="257"/>
      <c r="H70" s="257"/>
    </row>
    <row r="71" spans="1:8">
      <c r="A71" s="257" t="s">
        <v>520</v>
      </c>
      <c r="B71" s="257" t="s">
        <v>511</v>
      </c>
      <c r="C71" s="262" t="s">
        <v>461</v>
      </c>
      <c r="D71" s="267">
        <v>11.403</v>
      </c>
      <c r="E71" s="257"/>
      <c r="F71" s="257"/>
      <c r="G71" s="257"/>
      <c r="H71" s="257"/>
    </row>
    <row r="72" spans="1:8">
      <c r="A72" s="257"/>
      <c r="B72" s="257" t="s">
        <v>518</v>
      </c>
      <c r="C72" s="262" t="s">
        <v>461</v>
      </c>
      <c r="D72" s="267">
        <v>113.88200000000001</v>
      </c>
      <c r="E72" s="257"/>
      <c r="F72" s="257"/>
      <c r="G72" s="257"/>
      <c r="H72" s="257"/>
    </row>
    <row r="73" spans="1:8">
      <c r="A73" s="257"/>
      <c r="B73" s="257" t="s">
        <v>519</v>
      </c>
      <c r="C73" s="262" t="s">
        <v>461</v>
      </c>
      <c r="D73" s="267">
        <v>1138.8009999999999</v>
      </c>
      <c r="E73" s="257"/>
      <c r="F73" s="257"/>
      <c r="G73" s="257"/>
      <c r="H73" s="257"/>
    </row>
    <row r="74" spans="1:8">
      <c r="A74" s="257" t="s">
        <v>521</v>
      </c>
      <c r="B74" s="257" t="s">
        <v>522</v>
      </c>
      <c r="C74" s="262" t="s">
        <v>461</v>
      </c>
      <c r="D74" s="267">
        <v>11.403</v>
      </c>
      <c r="E74" s="257"/>
      <c r="F74" s="257"/>
      <c r="G74" s="257"/>
      <c r="H74" s="257"/>
    </row>
    <row r="75" spans="1:8">
      <c r="A75" s="257"/>
      <c r="B75" s="257" t="s">
        <v>523</v>
      </c>
      <c r="C75" s="262" t="s">
        <v>461</v>
      </c>
      <c r="D75" s="267">
        <v>113.88200000000001</v>
      </c>
      <c r="E75" s="257"/>
      <c r="F75" s="257"/>
      <c r="G75" s="257"/>
      <c r="H75" s="257"/>
    </row>
    <row r="76" spans="1:8">
      <c r="A76" s="257"/>
      <c r="B76" s="257" t="s">
        <v>524</v>
      </c>
      <c r="C76" s="262" t="s">
        <v>461</v>
      </c>
      <c r="D76" s="267">
        <v>1138.8009999999999</v>
      </c>
      <c r="E76" s="257"/>
      <c r="F76" s="257"/>
      <c r="G76" s="257"/>
      <c r="H76" s="257"/>
    </row>
    <row r="77" spans="1:8">
      <c r="A77" s="257" t="s">
        <v>525</v>
      </c>
      <c r="B77" s="257" t="s">
        <v>526</v>
      </c>
      <c r="C77" s="262" t="s">
        <v>461</v>
      </c>
      <c r="D77" s="267">
        <v>11.403</v>
      </c>
      <c r="E77" s="257"/>
      <c r="F77" s="257"/>
      <c r="G77" s="257"/>
      <c r="H77" s="257"/>
    </row>
    <row r="78" spans="1:8">
      <c r="A78" s="257"/>
      <c r="B78" s="257" t="s">
        <v>527</v>
      </c>
      <c r="C78" s="262" t="s">
        <v>461</v>
      </c>
      <c r="D78" s="267">
        <v>1138.8009999999999</v>
      </c>
      <c r="E78" s="257"/>
      <c r="F78" s="257"/>
      <c r="G78" s="257"/>
      <c r="H78" s="257"/>
    </row>
    <row r="79" spans="1:8">
      <c r="A79" s="257"/>
      <c r="B79" s="257" t="s">
        <v>528</v>
      </c>
      <c r="C79" s="262" t="s">
        <v>461</v>
      </c>
      <c r="D79" s="267">
        <v>8541.33</v>
      </c>
      <c r="E79" s="257"/>
      <c r="F79" s="257"/>
      <c r="G79" s="257"/>
      <c r="H79" s="257"/>
    </row>
    <row r="80" spans="1:8">
      <c r="A80" s="257"/>
      <c r="B80" s="257"/>
      <c r="C80" s="257"/>
      <c r="D80" s="257"/>
      <c r="E80" s="257"/>
      <c r="F80" s="257"/>
      <c r="G80" s="257"/>
      <c r="H80" s="257"/>
    </row>
    <row r="81" spans="1:10" ht="17.45">
      <c r="A81" s="257" t="s">
        <v>529</v>
      </c>
      <c r="B81" s="270">
        <v>123</v>
      </c>
      <c r="C81" s="331"/>
      <c r="D81" s="257" t="s">
        <v>530</v>
      </c>
      <c r="E81" s="257"/>
      <c r="F81" s="257"/>
      <c r="G81" s="257"/>
      <c r="H81" s="257"/>
    </row>
    <row r="82" spans="1:10" ht="17.45">
      <c r="A82" s="257" t="s">
        <v>531</v>
      </c>
      <c r="B82" s="270">
        <v>123</v>
      </c>
      <c r="C82" s="331"/>
      <c r="D82" s="257" t="s">
        <v>532</v>
      </c>
      <c r="E82" s="257"/>
      <c r="F82" s="257"/>
      <c r="G82" s="257"/>
      <c r="H82" s="257"/>
    </row>
    <row r="83" spans="1:10" ht="17.45">
      <c r="A83" s="257" t="s">
        <v>533</v>
      </c>
      <c r="B83" s="270">
        <v>43</v>
      </c>
      <c r="C83" s="331"/>
      <c r="D83" s="257" t="s">
        <v>532</v>
      </c>
      <c r="E83" s="257"/>
      <c r="F83" s="257"/>
      <c r="G83" s="257"/>
      <c r="H83" s="257"/>
    </row>
    <row r="84" spans="1:10" ht="17.45">
      <c r="A84" s="257" t="s">
        <v>534</v>
      </c>
      <c r="B84" s="270">
        <v>32</v>
      </c>
      <c r="C84" s="331"/>
      <c r="D84" s="257" t="s">
        <v>532</v>
      </c>
      <c r="E84" s="257"/>
      <c r="F84" s="257"/>
      <c r="G84" s="257"/>
      <c r="H84" s="257"/>
    </row>
    <row r="85" spans="1:10" ht="17.45">
      <c r="A85" s="257" t="s">
        <v>535</v>
      </c>
      <c r="B85" s="270">
        <v>63</v>
      </c>
      <c r="C85" s="331"/>
      <c r="D85" s="257" t="s">
        <v>536</v>
      </c>
      <c r="E85" s="257"/>
      <c r="F85" s="257"/>
      <c r="G85" s="257"/>
      <c r="H85" s="257"/>
    </row>
    <row r="86" spans="1:10" ht="17.45">
      <c r="A86" s="257"/>
      <c r="B86" s="270"/>
      <c r="C86" s="331"/>
      <c r="D86" s="257"/>
      <c r="E86" s="257"/>
      <c r="F86" s="257"/>
      <c r="G86" s="257"/>
      <c r="H86" s="257"/>
    </row>
    <row r="87" spans="1:10" ht="17.45">
      <c r="A87" s="257"/>
      <c r="B87" s="268"/>
      <c r="C87" s="213"/>
      <c r="D87" s="269"/>
      <c r="E87" s="269"/>
      <c r="F87" s="269"/>
      <c r="G87" s="269"/>
      <c r="H87" s="269"/>
    </row>
    <row r="88" spans="1:10" ht="17.45">
      <c r="A88" s="257"/>
      <c r="B88" s="268"/>
      <c r="C88" s="213"/>
      <c r="D88" s="269"/>
      <c r="E88" s="269"/>
      <c r="F88" s="269"/>
      <c r="G88" s="269"/>
      <c r="H88" s="269"/>
    </row>
    <row r="89" spans="1:10" ht="17.45">
      <c r="A89" s="257"/>
      <c r="B89" s="268"/>
      <c r="C89" s="213"/>
      <c r="D89" s="269"/>
      <c r="E89" s="269"/>
      <c r="F89" s="269"/>
      <c r="G89" s="269"/>
      <c r="H89" s="269"/>
    </row>
    <row r="90" spans="1:10">
      <c r="A90" s="257"/>
      <c r="B90" s="257"/>
      <c r="C90" s="257"/>
      <c r="D90" s="257"/>
      <c r="E90" s="257"/>
      <c r="F90" s="257"/>
      <c r="G90" s="257"/>
      <c r="H90" s="257"/>
    </row>
    <row r="91" spans="1:10">
      <c r="A91" s="269" t="s">
        <v>537</v>
      </c>
      <c r="B91" s="269"/>
      <c r="C91" s="332" t="s">
        <v>461</v>
      </c>
      <c r="D91" s="269"/>
      <c r="E91" s="333">
        <v>1.6930000000000001</v>
      </c>
      <c r="F91" s="269"/>
      <c r="G91" s="269"/>
      <c r="H91" s="269"/>
      <c r="I91" s="334"/>
      <c r="J91" s="334"/>
    </row>
    <row r="92" spans="1:10">
      <c r="A92" s="269"/>
      <c r="B92" s="269"/>
      <c r="C92" s="269"/>
      <c r="D92" s="269"/>
      <c r="E92" s="269"/>
      <c r="F92" s="269"/>
      <c r="G92" s="269"/>
      <c r="H92" s="269"/>
      <c r="I92" s="334"/>
      <c r="J92" s="334"/>
    </row>
    <row r="93" spans="1:10">
      <c r="A93" s="11" t="s">
        <v>538</v>
      </c>
      <c r="B93" s="335"/>
      <c r="C93" s="12"/>
      <c r="D93" s="13"/>
      <c r="E93" s="13"/>
      <c r="F93" s="13"/>
      <c r="G93" s="13"/>
      <c r="H93" s="13" t="s">
        <v>539</v>
      </c>
      <c r="I93" s="13"/>
    </row>
    <row r="94" spans="1:10">
      <c r="A94" s="257"/>
      <c r="B94" s="257"/>
      <c r="C94" s="257"/>
      <c r="D94" s="257" t="s">
        <v>540</v>
      </c>
      <c r="E94" s="257"/>
      <c r="F94" s="257"/>
      <c r="G94" s="257" t="s">
        <v>541</v>
      </c>
      <c r="H94" s="257"/>
    </row>
    <row r="95" spans="1:10">
      <c r="A95" s="257" t="s">
        <v>542</v>
      </c>
      <c r="B95" s="257" t="s">
        <v>543</v>
      </c>
      <c r="C95" s="257"/>
      <c r="D95" s="257"/>
      <c r="E95" s="257">
        <v>0</v>
      </c>
      <c r="F95" s="257"/>
      <c r="G95" s="257"/>
      <c r="H95" s="270">
        <v>118.6</v>
      </c>
    </row>
    <row r="96" spans="1:10">
      <c r="A96" s="257"/>
      <c r="B96" s="257"/>
      <c r="C96" s="257"/>
      <c r="D96" s="257"/>
      <c r="E96" s="257"/>
      <c r="F96" s="257"/>
      <c r="G96" s="257"/>
      <c r="H96" s="257"/>
    </row>
    <row r="97" spans="1:10">
      <c r="A97" s="257" t="s">
        <v>544</v>
      </c>
      <c r="B97" s="257" t="s">
        <v>545</v>
      </c>
      <c r="C97" s="257"/>
      <c r="D97" s="257"/>
      <c r="E97" s="257">
        <v>0</v>
      </c>
      <c r="F97" s="257"/>
      <c r="G97" s="257"/>
      <c r="H97" s="270">
        <v>118.61</v>
      </c>
    </row>
    <row r="98" spans="1:10">
      <c r="A98" s="257"/>
      <c r="B98" s="257"/>
      <c r="C98" s="257"/>
      <c r="D98" s="257"/>
      <c r="E98" s="257"/>
      <c r="F98" s="257"/>
      <c r="G98" s="257"/>
      <c r="H98" s="257"/>
    </row>
    <row r="99" spans="1:10">
      <c r="A99" s="257" t="s">
        <v>544</v>
      </c>
      <c r="B99" s="257" t="s">
        <v>546</v>
      </c>
      <c r="C99" s="257" t="s">
        <v>547</v>
      </c>
      <c r="D99" s="257"/>
      <c r="E99" s="270">
        <v>1262</v>
      </c>
      <c r="F99" s="257"/>
      <c r="G99" s="257"/>
      <c r="H99" s="257" t="s">
        <v>540</v>
      </c>
    </row>
    <row r="100" spans="1:10">
      <c r="A100" s="257"/>
      <c r="B100" s="257"/>
      <c r="C100" s="257"/>
      <c r="D100" s="257"/>
      <c r="E100" s="257"/>
      <c r="F100" s="257"/>
      <c r="G100" s="257"/>
      <c r="H100" s="257"/>
    </row>
    <row r="101" spans="1:10">
      <c r="A101" s="257" t="s">
        <v>544</v>
      </c>
      <c r="B101" s="257" t="s">
        <v>548</v>
      </c>
      <c r="C101" s="257" t="s">
        <v>549</v>
      </c>
      <c r="D101" s="257"/>
      <c r="E101" s="270">
        <v>1262</v>
      </c>
      <c r="F101" s="257"/>
      <c r="G101" s="257"/>
      <c r="H101" s="270">
        <v>4.8</v>
      </c>
    </row>
    <row r="102" spans="1:10">
      <c r="A102" s="257"/>
      <c r="B102" s="257"/>
      <c r="C102" s="257"/>
      <c r="D102" s="257"/>
      <c r="E102" s="257"/>
      <c r="F102" s="257"/>
      <c r="G102" s="257"/>
      <c r="H102" s="257"/>
    </row>
    <row r="103" spans="1:10">
      <c r="A103" s="257" t="s">
        <v>550</v>
      </c>
      <c r="B103" s="257" t="s">
        <v>551</v>
      </c>
      <c r="C103" s="257"/>
      <c r="D103" s="257"/>
      <c r="E103" s="257">
        <v>0</v>
      </c>
      <c r="F103" s="257"/>
      <c r="G103" s="257"/>
      <c r="H103" s="270">
        <v>116.5</v>
      </c>
    </row>
    <row r="104" spans="1:10">
      <c r="A104" s="257"/>
      <c r="B104" s="257"/>
      <c r="C104" s="257"/>
      <c r="D104" s="257"/>
      <c r="E104" s="257"/>
      <c r="F104" s="257"/>
      <c r="G104" s="257"/>
      <c r="H104" s="257"/>
    </row>
    <row r="105" spans="1:10">
      <c r="A105" s="257" t="s">
        <v>552</v>
      </c>
      <c r="B105" s="257" t="s">
        <v>553</v>
      </c>
      <c r="C105" s="257"/>
      <c r="D105" s="257"/>
      <c r="E105" s="257">
        <v>0</v>
      </c>
      <c r="F105" s="257"/>
      <c r="G105" s="257"/>
      <c r="H105" s="270">
        <v>54.1</v>
      </c>
    </row>
    <row r="106" spans="1:10">
      <c r="A106" s="257"/>
      <c r="B106" s="257"/>
      <c r="C106" s="257"/>
      <c r="D106" s="257"/>
      <c r="E106" s="257"/>
      <c r="F106" s="257"/>
      <c r="G106" s="257"/>
      <c r="H106" s="257"/>
    </row>
    <row r="107" spans="1:10">
      <c r="A107" s="257" t="s">
        <v>554</v>
      </c>
      <c r="B107" s="257" t="s">
        <v>555</v>
      </c>
      <c r="C107" s="257"/>
      <c r="D107" s="257"/>
      <c r="E107" s="257">
        <v>0</v>
      </c>
      <c r="F107" s="257"/>
      <c r="G107" s="257"/>
      <c r="H107" s="270">
        <v>48.9</v>
      </c>
    </row>
    <row r="108" spans="1:10">
      <c r="A108" s="38"/>
      <c r="B108" s="38"/>
      <c r="C108" s="38"/>
      <c r="D108" s="38"/>
      <c r="E108" s="38"/>
      <c r="F108" s="38"/>
      <c r="G108" s="38"/>
      <c r="H108" s="38"/>
      <c r="I108" s="334"/>
      <c r="J108" s="334"/>
    </row>
    <row r="109" spans="1:10">
      <c r="A109" s="334"/>
      <c r="B109" s="334"/>
      <c r="C109" s="334"/>
      <c r="D109" s="334"/>
      <c r="E109" s="334"/>
      <c r="F109" s="334"/>
      <c r="G109" s="334"/>
      <c r="H109" s="334"/>
      <c r="I109" s="334"/>
      <c r="J109" s="334"/>
    </row>
    <row r="110" spans="1:10">
      <c r="A110" s="334"/>
      <c r="B110" s="334"/>
      <c r="C110" s="334"/>
      <c r="D110" s="334"/>
      <c r="E110" s="334"/>
      <c r="F110" s="334"/>
      <c r="G110" s="334"/>
      <c r="H110" s="334"/>
      <c r="I110" s="334"/>
      <c r="J110" s="334"/>
    </row>
    <row r="111" spans="1:10">
      <c r="A111" s="334"/>
      <c r="B111" s="334"/>
      <c r="C111" s="334"/>
      <c r="D111" s="334"/>
      <c r="E111" s="334"/>
      <c r="F111" s="334"/>
      <c r="G111" s="334"/>
      <c r="H111" s="334"/>
      <c r="I111" s="334"/>
      <c r="J111" s="334"/>
    </row>
    <row r="112" spans="1:10">
      <c r="A112" s="334"/>
      <c r="B112" s="334"/>
      <c r="C112" s="334"/>
      <c r="D112" s="334"/>
      <c r="E112" s="334"/>
      <c r="F112" s="334"/>
      <c r="G112" s="334"/>
      <c r="H112" s="334"/>
      <c r="I112" s="334"/>
      <c r="J112" s="334"/>
    </row>
  </sheetData>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9EC5-076B-46D7-B968-79BDCD6A53C9}">
  <dimension ref="A1:J108"/>
  <sheetViews>
    <sheetView workbookViewId="0">
      <selection activeCell="Z50" sqref="Z50:AK50"/>
    </sheetView>
  </sheetViews>
  <sheetFormatPr defaultRowHeight="13.15"/>
  <cols>
    <col min="1" max="1" width="39.7109375" style="212" customWidth="1"/>
    <col min="2" max="2" width="23.28515625" style="212" bestFit="1" customWidth="1"/>
    <col min="3" max="4" width="9.140625" style="212"/>
    <col min="5" max="5" width="13.5703125" style="212" customWidth="1"/>
    <col min="6" max="6" width="10.28515625" style="212" customWidth="1"/>
    <col min="7" max="256" width="9.140625" style="212"/>
    <col min="257" max="257" width="39.7109375" style="212" customWidth="1"/>
    <col min="258" max="258" width="23.28515625" style="212" bestFit="1" customWidth="1"/>
    <col min="259" max="260" width="9.140625" style="212"/>
    <col min="261" max="261" width="13.5703125" style="212" customWidth="1"/>
    <col min="262" max="262" width="10.28515625" style="212" customWidth="1"/>
    <col min="263" max="512" width="9.140625" style="212"/>
    <col min="513" max="513" width="39.7109375" style="212" customWidth="1"/>
    <col min="514" max="514" width="23.28515625" style="212" bestFit="1" customWidth="1"/>
    <col min="515" max="516" width="9.140625" style="212"/>
    <col min="517" max="517" width="13.5703125" style="212" customWidth="1"/>
    <col min="518" max="518" width="10.28515625" style="212" customWidth="1"/>
    <col min="519" max="768" width="9.140625" style="212"/>
    <col min="769" max="769" width="39.7109375" style="212" customWidth="1"/>
    <col min="770" max="770" width="23.28515625" style="212" bestFit="1" customWidth="1"/>
    <col min="771" max="772" width="9.140625" style="212"/>
    <col min="773" max="773" width="13.5703125" style="212" customWidth="1"/>
    <col min="774" max="774" width="10.28515625" style="212" customWidth="1"/>
    <col min="775" max="1024" width="9.140625" style="212"/>
    <col min="1025" max="1025" width="39.7109375" style="212" customWidth="1"/>
    <col min="1026" max="1026" width="23.28515625" style="212" bestFit="1" customWidth="1"/>
    <col min="1027" max="1028" width="9.140625" style="212"/>
    <col min="1029" max="1029" width="13.5703125" style="212" customWidth="1"/>
    <col min="1030" max="1030" width="10.28515625" style="212" customWidth="1"/>
    <col min="1031" max="1280" width="9.140625" style="212"/>
    <col min="1281" max="1281" width="39.7109375" style="212" customWidth="1"/>
    <col min="1282" max="1282" width="23.28515625" style="212" bestFit="1" customWidth="1"/>
    <col min="1283" max="1284" width="9.140625" style="212"/>
    <col min="1285" max="1285" width="13.5703125" style="212" customWidth="1"/>
    <col min="1286" max="1286" width="10.28515625" style="212" customWidth="1"/>
    <col min="1287" max="1536" width="9.140625" style="212"/>
    <col min="1537" max="1537" width="39.7109375" style="212" customWidth="1"/>
    <col min="1538" max="1538" width="23.28515625" style="212" bestFit="1" customWidth="1"/>
    <col min="1539" max="1540" width="9.140625" style="212"/>
    <col min="1541" max="1541" width="13.5703125" style="212" customWidth="1"/>
    <col min="1542" max="1542" width="10.28515625" style="212" customWidth="1"/>
    <col min="1543" max="1792" width="9.140625" style="212"/>
    <col min="1793" max="1793" width="39.7109375" style="212" customWidth="1"/>
    <col min="1794" max="1794" width="23.28515625" style="212" bestFit="1" customWidth="1"/>
    <col min="1795" max="1796" width="9.140625" style="212"/>
    <col min="1797" max="1797" width="13.5703125" style="212" customWidth="1"/>
    <col min="1798" max="1798" width="10.28515625" style="212" customWidth="1"/>
    <col min="1799" max="2048" width="9.140625" style="212"/>
    <col min="2049" max="2049" width="39.7109375" style="212" customWidth="1"/>
    <col min="2050" max="2050" width="23.28515625" style="212" bestFit="1" customWidth="1"/>
    <col min="2051" max="2052" width="9.140625" style="212"/>
    <col min="2053" max="2053" width="13.5703125" style="212" customWidth="1"/>
    <col min="2054" max="2054" width="10.28515625" style="212" customWidth="1"/>
    <col min="2055" max="2304" width="9.140625" style="212"/>
    <col min="2305" max="2305" width="39.7109375" style="212" customWidth="1"/>
    <col min="2306" max="2306" width="23.28515625" style="212" bestFit="1" customWidth="1"/>
    <col min="2307" max="2308" width="9.140625" style="212"/>
    <col min="2309" max="2309" width="13.5703125" style="212" customWidth="1"/>
    <col min="2310" max="2310" width="10.28515625" style="212" customWidth="1"/>
    <col min="2311" max="2560" width="9.140625" style="212"/>
    <col min="2561" max="2561" width="39.7109375" style="212" customWidth="1"/>
    <col min="2562" max="2562" width="23.28515625" style="212" bestFit="1" customWidth="1"/>
    <col min="2563" max="2564" width="9.140625" style="212"/>
    <col min="2565" max="2565" width="13.5703125" style="212" customWidth="1"/>
    <col min="2566" max="2566" width="10.28515625" style="212" customWidth="1"/>
    <col min="2567" max="2816" width="9.140625" style="212"/>
    <col min="2817" max="2817" width="39.7109375" style="212" customWidth="1"/>
    <col min="2818" max="2818" width="23.28515625" style="212" bestFit="1" customWidth="1"/>
    <col min="2819" max="2820" width="9.140625" style="212"/>
    <col min="2821" max="2821" width="13.5703125" style="212" customWidth="1"/>
    <col min="2822" max="2822" width="10.28515625" style="212" customWidth="1"/>
    <col min="2823" max="3072" width="9.140625" style="212"/>
    <col min="3073" max="3073" width="39.7109375" style="212" customWidth="1"/>
    <col min="3074" max="3074" width="23.28515625" style="212" bestFit="1" customWidth="1"/>
    <col min="3075" max="3076" width="9.140625" style="212"/>
    <col min="3077" max="3077" width="13.5703125" style="212" customWidth="1"/>
    <col min="3078" max="3078" width="10.28515625" style="212" customWidth="1"/>
    <col min="3079" max="3328" width="9.140625" style="212"/>
    <col min="3329" max="3329" width="39.7109375" style="212" customWidth="1"/>
    <col min="3330" max="3330" width="23.28515625" style="212" bestFit="1" customWidth="1"/>
    <col min="3331" max="3332" width="9.140625" style="212"/>
    <col min="3333" max="3333" width="13.5703125" style="212" customWidth="1"/>
    <col min="3334" max="3334" width="10.28515625" style="212" customWidth="1"/>
    <col min="3335" max="3584" width="9.140625" style="212"/>
    <col min="3585" max="3585" width="39.7109375" style="212" customWidth="1"/>
    <col min="3586" max="3586" width="23.28515625" style="212" bestFit="1" customWidth="1"/>
    <col min="3587" max="3588" width="9.140625" style="212"/>
    <col min="3589" max="3589" width="13.5703125" style="212" customWidth="1"/>
    <col min="3590" max="3590" width="10.28515625" style="212" customWidth="1"/>
    <col min="3591" max="3840" width="9.140625" style="212"/>
    <col min="3841" max="3841" width="39.7109375" style="212" customWidth="1"/>
    <col min="3842" max="3842" width="23.28515625" style="212" bestFit="1" customWidth="1"/>
    <col min="3843" max="3844" width="9.140625" style="212"/>
    <col min="3845" max="3845" width="13.5703125" style="212" customWidth="1"/>
    <col min="3846" max="3846" width="10.28515625" style="212" customWidth="1"/>
    <col min="3847" max="4096" width="9.140625" style="212"/>
    <col min="4097" max="4097" width="39.7109375" style="212" customWidth="1"/>
    <col min="4098" max="4098" width="23.28515625" style="212" bestFit="1" customWidth="1"/>
    <col min="4099" max="4100" width="9.140625" style="212"/>
    <col min="4101" max="4101" width="13.5703125" style="212" customWidth="1"/>
    <col min="4102" max="4102" width="10.28515625" style="212" customWidth="1"/>
    <col min="4103" max="4352" width="9.140625" style="212"/>
    <col min="4353" max="4353" width="39.7109375" style="212" customWidth="1"/>
    <col min="4354" max="4354" width="23.28515625" style="212" bestFit="1" customWidth="1"/>
    <col min="4355" max="4356" width="9.140625" style="212"/>
    <col min="4357" max="4357" width="13.5703125" style="212" customWidth="1"/>
    <col min="4358" max="4358" width="10.28515625" style="212" customWidth="1"/>
    <col min="4359" max="4608" width="9.140625" style="212"/>
    <col min="4609" max="4609" width="39.7109375" style="212" customWidth="1"/>
    <col min="4610" max="4610" width="23.28515625" style="212" bestFit="1" customWidth="1"/>
    <col min="4611" max="4612" width="9.140625" style="212"/>
    <col min="4613" max="4613" width="13.5703125" style="212" customWidth="1"/>
    <col min="4614" max="4614" width="10.28515625" style="212" customWidth="1"/>
    <col min="4615" max="4864" width="9.140625" style="212"/>
    <col min="4865" max="4865" width="39.7109375" style="212" customWidth="1"/>
    <col min="4866" max="4866" width="23.28515625" style="212" bestFit="1" customWidth="1"/>
    <col min="4867" max="4868" width="9.140625" style="212"/>
    <col min="4869" max="4869" width="13.5703125" style="212" customWidth="1"/>
    <col min="4870" max="4870" width="10.28515625" style="212" customWidth="1"/>
    <col min="4871" max="5120" width="9.140625" style="212"/>
    <col min="5121" max="5121" width="39.7109375" style="212" customWidth="1"/>
    <col min="5122" max="5122" width="23.28515625" style="212" bestFit="1" customWidth="1"/>
    <col min="5123" max="5124" width="9.140625" style="212"/>
    <col min="5125" max="5125" width="13.5703125" style="212" customWidth="1"/>
    <col min="5126" max="5126" width="10.28515625" style="212" customWidth="1"/>
    <col min="5127" max="5376" width="9.140625" style="212"/>
    <col min="5377" max="5377" width="39.7109375" style="212" customWidth="1"/>
    <col min="5378" max="5378" width="23.28515625" style="212" bestFit="1" customWidth="1"/>
    <col min="5379" max="5380" width="9.140625" style="212"/>
    <col min="5381" max="5381" width="13.5703125" style="212" customWidth="1"/>
    <col min="5382" max="5382" width="10.28515625" style="212" customWidth="1"/>
    <col min="5383" max="5632" width="9.140625" style="212"/>
    <col min="5633" max="5633" width="39.7109375" style="212" customWidth="1"/>
    <col min="5634" max="5634" width="23.28515625" style="212" bestFit="1" customWidth="1"/>
    <col min="5635" max="5636" width="9.140625" style="212"/>
    <col min="5637" max="5637" width="13.5703125" style="212" customWidth="1"/>
    <col min="5638" max="5638" width="10.28515625" style="212" customWidth="1"/>
    <col min="5639" max="5888" width="9.140625" style="212"/>
    <col min="5889" max="5889" width="39.7109375" style="212" customWidth="1"/>
    <col min="5890" max="5890" width="23.28515625" style="212" bestFit="1" customWidth="1"/>
    <col min="5891" max="5892" width="9.140625" style="212"/>
    <col min="5893" max="5893" width="13.5703125" style="212" customWidth="1"/>
    <col min="5894" max="5894" width="10.28515625" style="212" customWidth="1"/>
    <col min="5895" max="6144" width="9.140625" style="212"/>
    <col min="6145" max="6145" width="39.7109375" style="212" customWidth="1"/>
    <col min="6146" max="6146" width="23.28515625" style="212" bestFit="1" customWidth="1"/>
    <col min="6147" max="6148" width="9.140625" style="212"/>
    <col min="6149" max="6149" width="13.5703125" style="212" customWidth="1"/>
    <col min="6150" max="6150" width="10.28515625" style="212" customWidth="1"/>
    <col min="6151" max="6400" width="9.140625" style="212"/>
    <col min="6401" max="6401" width="39.7109375" style="212" customWidth="1"/>
    <col min="6402" max="6402" width="23.28515625" style="212" bestFit="1" customWidth="1"/>
    <col min="6403" max="6404" width="9.140625" style="212"/>
    <col min="6405" max="6405" width="13.5703125" style="212" customWidth="1"/>
    <col min="6406" max="6406" width="10.28515625" style="212" customWidth="1"/>
    <col min="6407" max="6656" width="9.140625" style="212"/>
    <col min="6657" max="6657" width="39.7109375" style="212" customWidth="1"/>
    <col min="6658" max="6658" width="23.28515625" style="212" bestFit="1" customWidth="1"/>
    <col min="6659" max="6660" width="9.140625" style="212"/>
    <col min="6661" max="6661" width="13.5703125" style="212" customWidth="1"/>
    <col min="6662" max="6662" width="10.28515625" style="212" customWidth="1"/>
    <col min="6663" max="6912" width="9.140625" style="212"/>
    <col min="6913" max="6913" width="39.7109375" style="212" customWidth="1"/>
    <col min="6914" max="6914" width="23.28515625" style="212" bestFit="1" customWidth="1"/>
    <col min="6915" max="6916" width="9.140625" style="212"/>
    <col min="6917" max="6917" width="13.5703125" style="212" customWidth="1"/>
    <col min="6918" max="6918" width="10.28515625" style="212" customWidth="1"/>
    <col min="6919" max="7168" width="9.140625" style="212"/>
    <col min="7169" max="7169" width="39.7109375" style="212" customWidth="1"/>
    <col min="7170" max="7170" width="23.28515625" style="212" bestFit="1" customWidth="1"/>
    <col min="7171" max="7172" width="9.140625" style="212"/>
    <col min="7173" max="7173" width="13.5703125" style="212" customWidth="1"/>
    <col min="7174" max="7174" width="10.28515625" style="212" customWidth="1"/>
    <col min="7175" max="7424" width="9.140625" style="212"/>
    <col min="7425" max="7425" width="39.7109375" style="212" customWidth="1"/>
    <col min="7426" max="7426" width="23.28515625" style="212" bestFit="1" customWidth="1"/>
    <col min="7427" max="7428" width="9.140625" style="212"/>
    <col min="7429" max="7429" width="13.5703125" style="212" customWidth="1"/>
    <col min="7430" max="7430" width="10.28515625" style="212" customWidth="1"/>
    <col min="7431" max="7680" width="9.140625" style="212"/>
    <col min="7681" max="7681" width="39.7109375" style="212" customWidth="1"/>
    <col min="7682" max="7682" width="23.28515625" style="212" bestFit="1" customWidth="1"/>
    <col min="7683" max="7684" width="9.140625" style="212"/>
    <col min="7685" max="7685" width="13.5703125" style="212" customWidth="1"/>
    <col min="7686" max="7686" width="10.28515625" style="212" customWidth="1"/>
    <col min="7687" max="7936" width="9.140625" style="212"/>
    <col min="7937" max="7937" width="39.7109375" style="212" customWidth="1"/>
    <col min="7938" max="7938" width="23.28515625" style="212" bestFit="1" customWidth="1"/>
    <col min="7939" max="7940" width="9.140625" style="212"/>
    <col min="7941" max="7941" width="13.5703125" style="212" customWidth="1"/>
    <col min="7942" max="7942" width="10.28515625" style="212" customWidth="1"/>
    <col min="7943" max="8192" width="9.140625" style="212"/>
    <col min="8193" max="8193" width="39.7109375" style="212" customWidth="1"/>
    <col min="8194" max="8194" width="23.28515625" style="212" bestFit="1" customWidth="1"/>
    <col min="8195" max="8196" width="9.140625" style="212"/>
    <col min="8197" max="8197" width="13.5703125" style="212" customWidth="1"/>
    <col min="8198" max="8198" width="10.28515625" style="212" customWidth="1"/>
    <col min="8199" max="8448" width="9.140625" style="212"/>
    <col min="8449" max="8449" width="39.7109375" style="212" customWidth="1"/>
    <col min="8450" max="8450" width="23.28515625" style="212" bestFit="1" customWidth="1"/>
    <col min="8451" max="8452" width="9.140625" style="212"/>
    <col min="8453" max="8453" width="13.5703125" style="212" customWidth="1"/>
    <col min="8454" max="8454" width="10.28515625" style="212" customWidth="1"/>
    <col min="8455" max="8704" width="9.140625" style="212"/>
    <col min="8705" max="8705" width="39.7109375" style="212" customWidth="1"/>
    <col min="8706" max="8706" width="23.28515625" style="212" bestFit="1" customWidth="1"/>
    <col min="8707" max="8708" width="9.140625" style="212"/>
    <col min="8709" max="8709" width="13.5703125" style="212" customWidth="1"/>
    <col min="8710" max="8710" width="10.28515625" style="212" customWidth="1"/>
    <col min="8711" max="8960" width="9.140625" style="212"/>
    <col min="8961" max="8961" width="39.7109375" style="212" customWidth="1"/>
    <col min="8962" max="8962" width="23.28515625" style="212" bestFit="1" customWidth="1"/>
    <col min="8963" max="8964" width="9.140625" style="212"/>
    <col min="8965" max="8965" width="13.5703125" style="212" customWidth="1"/>
    <col min="8966" max="8966" width="10.28515625" style="212" customWidth="1"/>
    <col min="8967" max="9216" width="9.140625" style="212"/>
    <col min="9217" max="9217" width="39.7109375" style="212" customWidth="1"/>
    <col min="9218" max="9218" width="23.28515625" style="212" bestFit="1" customWidth="1"/>
    <col min="9219" max="9220" width="9.140625" style="212"/>
    <col min="9221" max="9221" width="13.5703125" style="212" customWidth="1"/>
    <col min="9222" max="9222" width="10.28515625" style="212" customWidth="1"/>
    <col min="9223" max="9472" width="9.140625" style="212"/>
    <col min="9473" max="9473" width="39.7109375" style="212" customWidth="1"/>
    <col min="9474" max="9474" width="23.28515625" style="212" bestFit="1" customWidth="1"/>
    <col min="9475" max="9476" width="9.140625" style="212"/>
    <col min="9477" max="9477" width="13.5703125" style="212" customWidth="1"/>
    <col min="9478" max="9478" width="10.28515625" style="212" customWidth="1"/>
    <col min="9479" max="9728" width="9.140625" style="212"/>
    <col min="9729" max="9729" width="39.7109375" style="212" customWidth="1"/>
    <col min="9730" max="9730" width="23.28515625" style="212" bestFit="1" customWidth="1"/>
    <col min="9731" max="9732" width="9.140625" style="212"/>
    <col min="9733" max="9733" width="13.5703125" style="212" customWidth="1"/>
    <col min="9734" max="9734" width="10.28515625" style="212" customWidth="1"/>
    <col min="9735" max="9984" width="9.140625" style="212"/>
    <col min="9985" max="9985" width="39.7109375" style="212" customWidth="1"/>
    <col min="9986" max="9986" width="23.28515625" style="212" bestFit="1" customWidth="1"/>
    <col min="9987" max="9988" width="9.140625" style="212"/>
    <col min="9989" max="9989" width="13.5703125" style="212" customWidth="1"/>
    <col min="9990" max="9990" width="10.28515625" style="212" customWidth="1"/>
    <col min="9991" max="10240" width="9.140625" style="212"/>
    <col min="10241" max="10241" width="39.7109375" style="212" customWidth="1"/>
    <col min="10242" max="10242" width="23.28515625" style="212" bestFit="1" customWidth="1"/>
    <col min="10243" max="10244" width="9.140625" style="212"/>
    <col min="10245" max="10245" width="13.5703125" style="212" customWidth="1"/>
    <col min="10246" max="10246" width="10.28515625" style="212" customWidth="1"/>
    <col min="10247" max="10496" width="9.140625" style="212"/>
    <col min="10497" max="10497" width="39.7109375" style="212" customWidth="1"/>
    <col min="10498" max="10498" width="23.28515625" style="212" bestFit="1" customWidth="1"/>
    <col min="10499" max="10500" width="9.140625" style="212"/>
    <col min="10501" max="10501" width="13.5703125" style="212" customWidth="1"/>
    <col min="10502" max="10502" width="10.28515625" style="212" customWidth="1"/>
    <col min="10503" max="10752" width="9.140625" style="212"/>
    <col min="10753" max="10753" width="39.7109375" style="212" customWidth="1"/>
    <col min="10754" max="10754" width="23.28515625" style="212" bestFit="1" customWidth="1"/>
    <col min="10755" max="10756" width="9.140625" style="212"/>
    <col min="10757" max="10757" width="13.5703125" style="212" customWidth="1"/>
    <col min="10758" max="10758" width="10.28515625" style="212" customWidth="1"/>
    <col min="10759" max="11008" width="9.140625" style="212"/>
    <col min="11009" max="11009" width="39.7109375" style="212" customWidth="1"/>
    <col min="11010" max="11010" width="23.28515625" style="212" bestFit="1" customWidth="1"/>
    <col min="11011" max="11012" width="9.140625" style="212"/>
    <col min="11013" max="11013" width="13.5703125" style="212" customWidth="1"/>
    <col min="11014" max="11014" width="10.28515625" style="212" customWidth="1"/>
    <col min="11015" max="11264" width="9.140625" style="212"/>
    <col min="11265" max="11265" width="39.7109375" style="212" customWidth="1"/>
    <col min="11266" max="11266" width="23.28515625" style="212" bestFit="1" customWidth="1"/>
    <col min="11267" max="11268" width="9.140625" style="212"/>
    <col min="11269" max="11269" width="13.5703125" style="212" customWidth="1"/>
    <col min="11270" max="11270" width="10.28515625" style="212" customWidth="1"/>
    <col min="11271" max="11520" width="9.140625" style="212"/>
    <col min="11521" max="11521" width="39.7109375" style="212" customWidth="1"/>
    <col min="11522" max="11522" width="23.28515625" style="212" bestFit="1" customWidth="1"/>
    <col min="11523" max="11524" width="9.140625" style="212"/>
    <col min="11525" max="11525" width="13.5703125" style="212" customWidth="1"/>
    <col min="11526" max="11526" width="10.28515625" style="212" customWidth="1"/>
    <col min="11527" max="11776" width="9.140625" style="212"/>
    <col min="11777" max="11777" width="39.7109375" style="212" customWidth="1"/>
    <col min="11778" max="11778" width="23.28515625" style="212" bestFit="1" customWidth="1"/>
    <col min="11779" max="11780" width="9.140625" style="212"/>
    <col min="11781" max="11781" width="13.5703125" style="212" customWidth="1"/>
    <col min="11782" max="11782" width="10.28515625" style="212" customWidth="1"/>
    <col min="11783" max="12032" width="9.140625" style="212"/>
    <col min="12033" max="12033" width="39.7109375" style="212" customWidth="1"/>
    <col min="12034" max="12034" width="23.28515625" style="212" bestFit="1" customWidth="1"/>
    <col min="12035" max="12036" width="9.140625" style="212"/>
    <col min="12037" max="12037" width="13.5703125" style="212" customWidth="1"/>
    <col min="12038" max="12038" width="10.28515625" style="212" customWidth="1"/>
    <col min="12039" max="12288" width="9.140625" style="212"/>
    <col min="12289" max="12289" width="39.7109375" style="212" customWidth="1"/>
    <col min="12290" max="12290" width="23.28515625" style="212" bestFit="1" customWidth="1"/>
    <col min="12291" max="12292" width="9.140625" style="212"/>
    <col min="12293" max="12293" width="13.5703125" style="212" customWidth="1"/>
    <col min="12294" max="12294" width="10.28515625" style="212" customWidth="1"/>
    <col min="12295" max="12544" width="9.140625" style="212"/>
    <col min="12545" max="12545" width="39.7109375" style="212" customWidth="1"/>
    <col min="12546" max="12546" width="23.28515625" style="212" bestFit="1" customWidth="1"/>
    <col min="12547" max="12548" width="9.140625" style="212"/>
    <col min="12549" max="12549" width="13.5703125" style="212" customWidth="1"/>
    <col min="12550" max="12550" width="10.28515625" style="212" customWidth="1"/>
    <col min="12551" max="12800" width="9.140625" style="212"/>
    <col min="12801" max="12801" width="39.7109375" style="212" customWidth="1"/>
    <col min="12802" max="12802" width="23.28515625" style="212" bestFit="1" customWidth="1"/>
    <col min="12803" max="12804" width="9.140625" style="212"/>
    <col min="12805" max="12805" width="13.5703125" style="212" customWidth="1"/>
    <col min="12806" max="12806" width="10.28515625" style="212" customWidth="1"/>
    <col min="12807" max="13056" width="9.140625" style="212"/>
    <col min="13057" max="13057" width="39.7109375" style="212" customWidth="1"/>
    <col min="13058" max="13058" width="23.28515625" style="212" bestFit="1" customWidth="1"/>
    <col min="13059" max="13060" width="9.140625" style="212"/>
    <col min="13061" max="13061" width="13.5703125" style="212" customWidth="1"/>
    <col min="13062" max="13062" width="10.28515625" style="212" customWidth="1"/>
    <col min="13063" max="13312" width="9.140625" style="212"/>
    <col min="13313" max="13313" width="39.7109375" style="212" customWidth="1"/>
    <col min="13314" max="13314" width="23.28515625" style="212" bestFit="1" customWidth="1"/>
    <col min="13315" max="13316" width="9.140625" style="212"/>
    <col min="13317" max="13317" width="13.5703125" style="212" customWidth="1"/>
    <col min="13318" max="13318" width="10.28515625" style="212" customWidth="1"/>
    <col min="13319" max="13568" width="9.140625" style="212"/>
    <col min="13569" max="13569" width="39.7109375" style="212" customWidth="1"/>
    <col min="13570" max="13570" width="23.28515625" style="212" bestFit="1" customWidth="1"/>
    <col min="13571" max="13572" width="9.140625" style="212"/>
    <col min="13573" max="13573" width="13.5703125" style="212" customWidth="1"/>
    <col min="13574" max="13574" width="10.28515625" style="212" customWidth="1"/>
    <col min="13575" max="13824" width="9.140625" style="212"/>
    <col min="13825" max="13825" width="39.7109375" style="212" customWidth="1"/>
    <col min="13826" max="13826" width="23.28515625" style="212" bestFit="1" customWidth="1"/>
    <col min="13827" max="13828" width="9.140625" style="212"/>
    <col min="13829" max="13829" width="13.5703125" style="212" customWidth="1"/>
    <col min="13830" max="13830" width="10.28515625" style="212" customWidth="1"/>
    <col min="13831" max="14080" width="9.140625" style="212"/>
    <col min="14081" max="14081" width="39.7109375" style="212" customWidth="1"/>
    <col min="14082" max="14082" width="23.28515625" style="212" bestFit="1" customWidth="1"/>
    <col min="14083" max="14084" width="9.140625" style="212"/>
    <col min="14085" max="14085" width="13.5703125" style="212" customWidth="1"/>
    <col min="14086" max="14086" width="10.28515625" style="212" customWidth="1"/>
    <col min="14087" max="14336" width="9.140625" style="212"/>
    <col min="14337" max="14337" width="39.7109375" style="212" customWidth="1"/>
    <col min="14338" max="14338" width="23.28515625" style="212" bestFit="1" customWidth="1"/>
    <col min="14339" max="14340" width="9.140625" style="212"/>
    <col min="14341" max="14341" width="13.5703125" style="212" customWidth="1"/>
    <col min="14342" max="14342" width="10.28515625" style="212" customWidth="1"/>
    <col min="14343" max="14592" width="9.140625" style="212"/>
    <col min="14593" max="14593" width="39.7109375" style="212" customWidth="1"/>
    <col min="14594" max="14594" width="23.28515625" style="212" bestFit="1" customWidth="1"/>
    <col min="14595" max="14596" width="9.140625" style="212"/>
    <col min="14597" max="14597" width="13.5703125" style="212" customWidth="1"/>
    <col min="14598" max="14598" width="10.28515625" style="212" customWidth="1"/>
    <col min="14599" max="14848" width="9.140625" style="212"/>
    <col min="14849" max="14849" width="39.7109375" style="212" customWidth="1"/>
    <col min="14850" max="14850" width="23.28515625" style="212" bestFit="1" customWidth="1"/>
    <col min="14851" max="14852" width="9.140625" style="212"/>
    <col min="14853" max="14853" width="13.5703125" style="212" customWidth="1"/>
    <col min="14854" max="14854" width="10.28515625" style="212" customWidth="1"/>
    <col min="14855" max="15104" width="9.140625" style="212"/>
    <col min="15105" max="15105" width="39.7109375" style="212" customWidth="1"/>
    <col min="15106" max="15106" width="23.28515625" style="212" bestFit="1" customWidth="1"/>
    <col min="15107" max="15108" width="9.140625" style="212"/>
    <col min="15109" max="15109" width="13.5703125" style="212" customWidth="1"/>
    <col min="15110" max="15110" width="10.28515625" style="212" customWidth="1"/>
    <col min="15111" max="15360" width="9.140625" style="212"/>
    <col min="15361" max="15361" width="39.7109375" style="212" customWidth="1"/>
    <col min="15362" max="15362" width="23.28515625" style="212" bestFit="1" customWidth="1"/>
    <col min="15363" max="15364" width="9.140625" style="212"/>
    <col min="15365" max="15365" width="13.5703125" style="212" customWidth="1"/>
    <col min="15366" max="15366" width="10.28515625" style="212" customWidth="1"/>
    <col min="15367" max="15616" width="9.140625" style="212"/>
    <col min="15617" max="15617" width="39.7109375" style="212" customWidth="1"/>
    <col min="15618" max="15618" width="23.28515625" style="212" bestFit="1" customWidth="1"/>
    <col min="15619" max="15620" width="9.140625" style="212"/>
    <col min="15621" max="15621" width="13.5703125" style="212" customWidth="1"/>
    <col min="15622" max="15622" width="10.28515625" style="212" customWidth="1"/>
    <col min="15623" max="15872" width="9.140625" style="212"/>
    <col min="15873" max="15873" width="39.7109375" style="212" customWidth="1"/>
    <col min="15874" max="15874" width="23.28515625" style="212" bestFit="1" customWidth="1"/>
    <col min="15875" max="15876" width="9.140625" style="212"/>
    <col min="15877" max="15877" width="13.5703125" style="212" customWidth="1"/>
    <col min="15878" max="15878" width="10.28515625" style="212" customWidth="1"/>
    <col min="15879" max="16128" width="9.140625" style="212"/>
    <col min="16129" max="16129" width="39.7109375" style="212" customWidth="1"/>
    <col min="16130" max="16130" width="23.28515625" style="212" bestFit="1" customWidth="1"/>
    <col min="16131" max="16132" width="9.140625" style="212"/>
    <col min="16133" max="16133" width="13.5703125" style="212" customWidth="1"/>
    <col min="16134" max="16134" width="10.28515625" style="212" customWidth="1"/>
    <col min="16135" max="16384" width="9.140625" style="212"/>
  </cols>
  <sheetData>
    <row r="1" spans="1:8" ht="15.6">
      <c r="A1" s="255" t="s">
        <v>423</v>
      </c>
      <c r="B1" s="256"/>
      <c r="C1" s="256"/>
      <c r="D1" s="256"/>
      <c r="E1" s="257"/>
      <c r="F1" s="257"/>
      <c r="G1" s="257"/>
      <c r="H1" s="257"/>
    </row>
    <row r="2" spans="1:8">
      <c r="A2" s="257"/>
      <c r="B2" s="257"/>
      <c r="C2" s="257"/>
      <c r="D2" s="257"/>
      <c r="E2" s="257"/>
      <c r="F2" s="257"/>
      <c r="G2" s="257"/>
      <c r="H2" s="257"/>
    </row>
    <row r="3" spans="1:8">
      <c r="A3" s="258" t="s">
        <v>556</v>
      </c>
      <c r="B3" s="259"/>
      <c r="C3" s="260"/>
      <c r="D3" s="259"/>
      <c r="E3" s="257"/>
      <c r="F3" s="257"/>
      <c r="G3" s="257"/>
      <c r="H3" s="257"/>
    </row>
    <row r="4" spans="1:8">
      <c r="A4" s="257"/>
      <c r="B4" s="257"/>
      <c r="C4" s="257"/>
      <c r="D4" s="257"/>
      <c r="E4" s="257"/>
      <c r="F4" s="257"/>
      <c r="G4" s="257"/>
      <c r="H4" s="257"/>
    </row>
    <row r="5" spans="1:8">
      <c r="A5" s="259" t="s">
        <v>425</v>
      </c>
      <c r="B5" s="259" t="s">
        <v>426</v>
      </c>
      <c r="C5" s="259" t="s">
        <v>427</v>
      </c>
      <c r="D5" s="259" t="s">
        <v>428</v>
      </c>
      <c r="E5" s="257"/>
      <c r="F5" s="337"/>
      <c r="G5" s="257"/>
      <c r="H5" s="257"/>
    </row>
    <row r="6" spans="1:8">
      <c r="A6" s="261" t="s">
        <v>429</v>
      </c>
      <c r="B6" s="262"/>
      <c r="C6" s="262" t="s">
        <v>430</v>
      </c>
      <c r="D6" s="263">
        <v>3.94</v>
      </c>
      <c r="E6" s="257"/>
      <c r="F6" s="257"/>
      <c r="G6" s="269" t="s">
        <v>557</v>
      </c>
      <c r="H6" s="257"/>
    </row>
    <row r="7" spans="1:8">
      <c r="A7" s="259"/>
      <c r="B7" s="259"/>
      <c r="C7" s="259"/>
      <c r="D7" s="260"/>
      <c r="E7" s="257"/>
      <c r="F7" s="257"/>
      <c r="G7" s="257"/>
      <c r="H7" s="257"/>
    </row>
    <row r="8" spans="1:8">
      <c r="A8" s="264" t="s">
        <v>431</v>
      </c>
      <c r="B8" s="259"/>
      <c r="C8" s="259"/>
      <c r="D8" s="260"/>
      <c r="E8" s="257"/>
      <c r="F8" s="257"/>
      <c r="G8" s="257"/>
      <c r="H8" s="257"/>
    </row>
    <row r="9" spans="1:8">
      <c r="A9" s="261" t="s">
        <v>432</v>
      </c>
      <c r="B9" s="257"/>
      <c r="C9" s="262" t="s">
        <v>433</v>
      </c>
      <c r="D9" s="263">
        <v>140.09</v>
      </c>
      <c r="E9" s="257"/>
      <c r="F9" s="257"/>
      <c r="G9" s="257"/>
      <c r="H9" s="257"/>
    </row>
    <row r="10" spans="1:8">
      <c r="A10" s="257" t="s">
        <v>434</v>
      </c>
      <c r="B10" s="257" t="s">
        <v>435</v>
      </c>
      <c r="C10" s="262" t="s">
        <v>436</v>
      </c>
      <c r="D10" s="263">
        <v>235.45</v>
      </c>
      <c r="E10" s="257"/>
      <c r="F10" s="257"/>
      <c r="G10" s="257"/>
      <c r="H10" s="257"/>
    </row>
    <row r="11" spans="1:8">
      <c r="A11" s="257" t="s">
        <v>437</v>
      </c>
      <c r="B11" s="257"/>
      <c r="C11" s="262" t="s">
        <v>436</v>
      </c>
      <c r="D11" s="263">
        <v>94.07</v>
      </c>
      <c r="E11" s="257"/>
      <c r="F11" s="265"/>
      <c r="G11" s="257"/>
      <c r="H11" s="257"/>
    </row>
    <row r="12" spans="1:8">
      <c r="A12" s="257" t="s">
        <v>439</v>
      </c>
      <c r="B12" s="257"/>
      <c r="C12" s="262" t="s">
        <v>436</v>
      </c>
      <c r="D12" s="338"/>
      <c r="E12" s="257" t="s">
        <v>440</v>
      </c>
      <c r="F12" s="257"/>
      <c r="G12" s="257"/>
      <c r="H12" s="257"/>
    </row>
    <row r="13" spans="1:8">
      <c r="A13" s="257" t="s">
        <v>441</v>
      </c>
      <c r="B13" s="257"/>
      <c r="C13" s="262" t="s">
        <v>433</v>
      </c>
      <c r="D13" s="263">
        <v>154</v>
      </c>
      <c r="E13" s="257" t="s">
        <v>442</v>
      </c>
      <c r="F13" s="257"/>
      <c r="G13" s="257"/>
      <c r="H13" s="257"/>
    </row>
    <row r="14" spans="1:8">
      <c r="A14" s="257" t="s">
        <v>443</v>
      </c>
      <c r="B14" s="257"/>
      <c r="C14" s="262" t="s">
        <v>436</v>
      </c>
      <c r="D14" s="263">
        <v>42.02</v>
      </c>
      <c r="E14" s="257"/>
      <c r="F14" s="257"/>
      <c r="G14" s="257"/>
      <c r="H14" s="257"/>
    </row>
    <row r="15" spans="1:8">
      <c r="A15" s="257" t="s">
        <v>444</v>
      </c>
      <c r="B15" s="257" t="s">
        <v>445</v>
      </c>
      <c r="C15" s="262" t="s">
        <v>436</v>
      </c>
      <c r="D15" s="263">
        <v>474.98</v>
      </c>
      <c r="E15" s="257" t="s">
        <v>442</v>
      </c>
      <c r="F15" s="257"/>
      <c r="G15" s="257"/>
      <c r="H15" s="257"/>
    </row>
    <row r="16" spans="1:8">
      <c r="A16" s="257"/>
      <c r="B16" s="257" t="s">
        <v>446</v>
      </c>
      <c r="C16" s="262" t="s">
        <v>436</v>
      </c>
      <c r="D16" s="263">
        <v>752.4</v>
      </c>
      <c r="E16" s="257" t="s">
        <v>442</v>
      </c>
      <c r="F16" s="257"/>
      <c r="G16" s="339" t="s">
        <v>558</v>
      </c>
      <c r="H16" s="257" t="s">
        <v>448</v>
      </c>
    </row>
    <row r="17" spans="1:10">
      <c r="A17" s="257"/>
      <c r="B17" s="257" t="s">
        <v>449</v>
      </c>
      <c r="C17" s="262" t="s">
        <v>436</v>
      </c>
      <c r="D17" s="263" t="s">
        <v>450</v>
      </c>
      <c r="E17" s="257" t="s">
        <v>442</v>
      </c>
      <c r="F17" s="257"/>
      <c r="G17" s="257"/>
      <c r="H17" s="257"/>
    </row>
    <row r="18" spans="1:10">
      <c r="A18" s="257"/>
      <c r="B18" s="257" t="s">
        <v>451</v>
      </c>
      <c r="C18" s="262" t="s">
        <v>436</v>
      </c>
      <c r="D18" s="263" t="s">
        <v>450</v>
      </c>
      <c r="E18" s="257" t="s">
        <v>442</v>
      </c>
      <c r="F18" s="257"/>
      <c r="G18" s="257"/>
      <c r="H18" s="257"/>
    </row>
    <row r="19" spans="1:10">
      <c r="A19" s="257" t="s">
        <v>452</v>
      </c>
      <c r="B19" s="257"/>
      <c r="C19" s="262" t="s">
        <v>453</v>
      </c>
      <c r="D19" s="263">
        <v>1.64</v>
      </c>
      <c r="E19" s="257"/>
      <c r="F19" s="257"/>
      <c r="G19" s="266"/>
      <c r="H19" s="257"/>
    </row>
    <row r="20" spans="1:10">
      <c r="A20" s="257" t="s">
        <v>559</v>
      </c>
      <c r="B20" s="257"/>
      <c r="C20" s="262" t="s">
        <v>433</v>
      </c>
      <c r="D20" s="263">
        <v>140.09</v>
      </c>
      <c r="E20" s="257"/>
      <c r="F20" s="257" t="s">
        <v>560</v>
      </c>
      <c r="G20" s="257"/>
      <c r="H20" s="257"/>
      <c r="I20" s="340">
        <v>154</v>
      </c>
      <c r="J20" s="257" t="s">
        <v>442</v>
      </c>
    </row>
    <row r="21" spans="1:10">
      <c r="A21" s="257" t="s">
        <v>455</v>
      </c>
      <c r="B21" s="257"/>
      <c r="C21" s="262" t="s">
        <v>433</v>
      </c>
      <c r="D21" s="336">
        <v>183.87</v>
      </c>
      <c r="E21" s="257"/>
      <c r="F21" s="257"/>
      <c r="G21" s="257"/>
      <c r="H21" s="257"/>
    </row>
    <row r="22" spans="1:10">
      <c r="A22" s="264" t="s">
        <v>456</v>
      </c>
      <c r="B22" s="257"/>
      <c r="C22" s="262"/>
      <c r="D22" s="338"/>
      <c r="E22" s="257"/>
      <c r="F22" s="257"/>
      <c r="H22" s="257"/>
    </row>
    <row r="23" spans="1:10">
      <c r="A23" s="257" t="s">
        <v>457</v>
      </c>
      <c r="B23" s="257" t="s">
        <v>458</v>
      </c>
      <c r="C23" s="262" t="s">
        <v>430</v>
      </c>
      <c r="D23" s="267">
        <v>1.5349999999999999</v>
      </c>
      <c r="E23" s="257"/>
      <c r="F23" s="257"/>
      <c r="G23" s="257"/>
      <c r="H23" s="257"/>
    </row>
    <row r="24" spans="1:10">
      <c r="A24" s="257" t="s">
        <v>459</v>
      </c>
      <c r="B24" s="257" t="s">
        <v>460</v>
      </c>
      <c r="C24" s="262" t="s">
        <v>461</v>
      </c>
      <c r="D24" s="267">
        <v>1.2809999999999999</v>
      </c>
      <c r="E24" s="257"/>
      <c r="F24" s="257"/>
      <c r="G24" s="257"/>
      <c r="H24" s="257"/>
    </row>
    <row r="25" spans="1:10">
      <c r="A25" s="257"/>
      <c r="B25" s="257" t="s">
        <v>462</v>
      </c>
      <c r="C25" s="262" t="s">
        <v>461</v>
      </c>
      <c r="D25" s="267">
        <v>2.6150000000000002</v>
      </c>
      <c r="E25" s="257"/>
      <c r="F25" s="257"/>
      <c r="G25" s="257"/>
      <c r="H25" s="257"/>
    </row>
    <row r="26" spans="1:10">
      <c r="A26" s="257" t="s">
        <v>463</v>
      </c>
      <c r="B26" s="257" t="s">
        <v>464</v>
      </c>
      <c r="C26" s="262" t="s">
        <v>461</v>
      </c>
      <c r="D26" s="341"/>
      <c r="E26" s="257"/>
      <c r="F26" s="257"/>
      <c r="G26" s="257"/>
      <c r="H26" s="257"/>
    </row>
    <row r="27" spans="1:10">
      <c r="A27" s="257"/>
      <c r="B27" s="257" t="s">
        <v>465</v>
      </c>
      <c r="C27" s="262" t="s">
        <v>461</v>
      </c>
      <c r="D27" s="341"/>
      <c r="E27" s="257"/>
      <c r="F27" s="257"/>
      <c r="G27" s="257"/>
      <c r="H27" s="257"/>
    </row>
    <row r="28" spans="1:10">
      <c r="A28" s="257" t="s">
        <v>466</v>
      </c>
      <c r="B28" s="257" t="s">
        <v>467</v>
      </c>
      <c r="C28" s="262" t="s">
        <v>461</v>
      </c>
      <c r="D28" s="267">
        <v>1.7470000000000001</v>
      </c>
      <c r="E28" s="257"/>
      <c r="F28" s="257"/>
      <c r="G28" s="257"/>
      <c r="H28" s="257"/>
    </row>
    <row r="29" spans="1:10">
      <c r="A29" s="257"/>
      <c r="B29" s="257" t="s">
        <v>468</v>
      </c>
      <c r="C29" s="262" t="s">
        <v>461</v>
      </c>
      <c r="D29" s="267">
        <v>3.5150000000000001</v>
      </c>
      <c r="E29" s="257"/>
      <c r="F29" s="257"/>
      <c r="G29" s="257"/>
      <c r="H29" s="257"/>
    </row>
    <row r="30" spans="1:10">
      <c r="A30" s="257" t="s">
        <v>469</v>
      </c>
      <c r="B30" s="257" t="s">
        <v>470</v>
      </c>
      <c r="C30" s="262" t="s">
        <v>461</v>
      </c>
      <c r="D30" s="267">
        <v>1.577</v>
      </c>
      <c r="E30" s="257"/>
      <c r="F30" s="257"/>
      <c r="G30" s="257"/>
      <c r="H30" s="257"/>
    </row>
    <row r="31" spans="1:10">
      <c r="A31" s="257"/>
      <c r="B31" s="257" t="s">
        <v>471</v>
      </c>
      <c r="C31" s="262" t="s">
        <v>461</v>
      </c>
      <c r="D31" s="267">
        <v>3.0910000000000002</v>
      </c>
      <c r="E31" s="257"/>
      <c r="F31" s="257"/>
      <c r="G31" s="257"/>
      <c r="H31" s="257"/>
    </row>
    <row r="32" spans="1:10">
      <c r="A32" s="257"/>
      <c r="B32" s="257" t="s">
        <v>472</v>
      </c>
      <c r="C32" s="262" t="s">
        <v>461</v>
      </c>
      <c r="D32" s="267">
        <v>6.2350000000000003</v>
      </c>
      <c r="E32" s="257"/>
      <c r="F32" s="257"/>
      <c r="G32" s="257"/>
      <c r="H32" s="257"/>
    </row>
    <row r="33" spans="1:8">
      <c r="A33" s="257" t="s">
        <v>473</v>
      </c>
      <c r="B33" s="257" t="s">
        <v>474</v>
      </c>
      <c r="C33" s="262" t="s">
        <v>475</v>
      </c>
      <c r="D33" s="267">
        <v>0.434</v>
      </c>
      <c r="E33" s="257"/>
      <c r="F33" s="257"/>
      <c r="G33" s="257"/>
      <c r="H33" s="257"/>
    </row>
    <row r="34" spans="1:8">
      <c r="A34" s="257"/>
      <c r="B34" s="257" t="s">
        <v>476</v>
      </c>
      <c r="C34" s="262" t="s">
        <v>475</v>
      </c>
      <c r="D34" s="267">
        <v>0.91</v>
      </c>
      <c r="E34" s="257"/>
      <c r="F34" s="257"/>
      <c r="G34" s="257"/>
      <c r="H34" s="257"/>
    </row>
    <row r="35" spans="1:8">
      <c r="A35" s="257"/>
      <c r="B35" s="257" t="s">
        <v>477</v>
      </c>
      <c r="C35" s="262" t="s">
        <v>475</v>
      </c>
      <c r="D35" s="267">
        <v>1.81</v>
      </c>
      <c r="E35" s="257"/>
      <c r="F35" s="257"/>
      <c r="G35" s="257"/>
      <c r="H35" s="257"/>
    </row>
    <row r="36" spans="1:8">
      <c r="A36" s="257" t="s">
        <v>478</v>
      </c>
      <c r="B36" s="257" t="s">
        <v>474</v>
      </c>
      <c r="C36" s="262" t="s">
        <v>475</v>
      </c>
      <c r="D36" s="267">
        <v>0.13800000000000001</v>
      </c>
      <c r="E36" s="257"/>
      <c r="F36" s="257"/>
      <c r="G36" s="257"/>
      <c r="H36" s="257"/>
    </row>
    <row r="37" spans="1:8">
      <c r="A37" s="257"/>
      <c r="B37" s="257" t="s">
        <v>479</v>
      </c>
      <c r="C37" s="262" t="s">
        <v>475</v>
      </c>
      <c r="D37" s="267">
        <v>0.32800000000000001</v>
      </c>
      <c r="E37" s="257"/>
      <c r="F37" s="257"/>
      <c r="G37" s="257"/>
      <c r="H37" s="257"/>
    </row>
    <row r="38" spans="1:8">
      <c r="A38" s="257"/>
      <c r="B38" s="257" t="s">
        <v>480</v>
      </c>
      <c r="C38" s="262" t="s">
        <v>475</v>
      </c>
      <c r="D38" s="267">
        <v>0.65600000000000003</v>
      </c>
      <c r="E38" s="257"/>
      <c r="F38" s="257"/>
      <c r="G38" s="257"/>
      <c r="H38" s="257"/>
    </row>
    <row r="39" spans="1:8">
      <c r="A39" s="257" t="s">
        <v>481</v>
      </c>
      <c r="B39" s="257" t="s">
        <v>458</v>
      </c>
      <c r="C39" s="262" t="s">
        <v>461</v>
      </c>
      <c r="D39" s="267">
        <v>1.397</v>
      </c>
      <c r="E39" s="257"/>
      <c r="F39" s="257"/>
      <c r="G39" s="257"/>
      <c r="H39" s="257"/>
    </row>
    <row r="40" spans="1:8">
      <c r="A40" s="257" t="s">
        <v>482</v>
      </c>
      <c r="B40" s="257" t="s">
        <v>458</v>
      </c>
      <c r="C40" s="262" t="s">
        <v>461</v>
      </c>
      <c r="D40" s="267">
        <v>0.39200000000000002</v>
      </c>
      <c r="E40" s="257"/>
      <c r="F40" s="257"/>
      <c r="G40" s="257"/>
      <c r="H40" s="257"/>
    </row>
    <row r="41" spans="1:8">
      <c r="A41" s="257" t="s">
        <v>483</v>
      </c>
      <c r="B41" s="257" t="s">
        <v>484</v>
      </c>
      <c r="C41" s="262" t="s">
        <v>461</v>
      </c>
      <c r="D41" s="267" t="s">
        <v>485</v>
      </c>
      <c r="E41" s="257"/>
      <c r="F41" s="257"/>
      <c r="G41" s="257"/>
      <c r="H41" s="257"/>
    </row>
    <row r="42" spans="1:8">
      <c r="A42" s="257"/>
      <c r="B42" s="257" t="s">
        <v>486</v>
      </c>
      <c r="C42" s="262" t="s">
        <v>461</v>
      </c>
      <c r="D42" s="267">
        <v>0.74099999999999999</v>
      </c>
      <c r="E42" s="257"/>
      <c r="F42" s="257"/>
      <c r="G42" s="257"/>
      <c r="H42" s="257"/>
    </row>
    <row r="43" spans="1:8">
      <c r="A43" s="257" t="s">
        <v>487</v>
      </c>
      <c r="B43" s="257" t="s">
        <v>488</v>
      </c>
      <c r="C43" s="262" t="s">
        <v>461</v>
      </c>
      <c r="D43" s="267" t="s">
        <v>485</v>
      </c>
      <c r="E43" s="257"/>
      <c r="F43" s="257"/>
      <c r="G43" s="257"/>
      <c r="H43" s="257"/>
    </row>
    <row r="44" spans="1:8">
      <c r="A44" s="257"/>
      <c r="B44" s="257" t="s">
        <v>489</v>
      </c>
      <c r="C44" s="262" t="s">
        <v>461</v>
      </c>
      <c r="D44" s="267">
        <v>1E-3</v>
      </c>
      <c r="E44" s="257"/>
      <c r="F44" s="257"/>
      <c r="G44" s="257"/>
      <c r="H44" s="257"/>
    </row>
    <row r="45" spans="1:8">
      <c r="A45" s="257"/>
      <c r="B45" s="257" t="s">
        <v>490</v>
      </c>
      <c r="C45" s="262" t="s">
        <v>461</v>
      </c>
      <c r="D45" s="267">
        <v>4.1000000000000002E-2</v>
      </c>
      <c r="E45" s="257"/>
      <c r="F45" s="257"/>
      <c r="G45" s="257"/>
      <c r="H45" s="257"/>
    </row>
    <row r="46" spans="1:8">
      <c r="A46" s="257"/>
      <c r="B46" s="257" t="s">
        <v>491</v>
      </c>
      <c r="C46" s="262" t="s">
        <v>461</v>
      </c>
      <c r="D46" s="267">
        <v>0.14699999999999999</v>
      </c>
      <c r="E46" s="257"/>
      <c r="F46" s="257"/>
      <c r="G46" s="257"/>
      <c r="H46" s="257"/>
    </row>
    <row r="47" spans="1:8">
      <c r="A47" s="257" t="s">
        <v>492</v>
      </c>
      <c r="B47" s="257" t="s">
        <v>493</v>
      </c>
      <c r="C47" s="262" t="s">
        <v>461</v>
      </c>
      <c r="D47" s="267">
        <v>11.602</v>
      </c>
      <c r="E47" s="257"/>
      <c r="F47" s="257"/>
      <c r="G47" s="257"/>
      <c r="H47" s="257"/>
    </row>
    <row r="48" spans="1:8">
      <c r="A48" s="257"/>
      <c r="B48" s="257" t="s">
        <v>494</v>
      </c>
      <c r="C48" s="262" t="s">
        <v>461</v>
      </c>
      <c r="D48" s="267">
        <v>23.140999999999998</v>
      </c>
      <c r="E48" s="257"/>
      <c r="F48" s="257"/>
      <c r="G48" s="257"/>
      <c r="H48" s="257"/>
    </row>
    <row r="49" spans="1:8">
      <c r="A49" s="257"/>
      <c r="B49" s="257" t="s">
        <v>495</v>
      </c>
      <c r="C49" s="262" t="s">
        <v>461</v>
      </c>
      <c r="D49" s="267">
        <v>92.722999999999999</v>
      </c>
      <c r="E49" s="257"/>
      <c r="F49" s="257"/>
      <c r="G49" s="257"/>
      <c r="H49" s="257"/>
    </row>
    <row r="50" spans="1:8">
      <c r="A50" s="257" t="s">
        <v>496</v>
      </c>
      <c r="B50" s="257" t="s">
        <v>493</v>
      </c>
      <c r="C50" s="262" t="s">
        <v>461</v>
      </c>
      <c r="D50" s="267">
        <v>11.602</v>
      </c>
      <c r="E50" s="257"/>
      <c r="F50" s="257"/>
      <c r="G50" s="257"/>
      <c r="H50" s="257"/>
    </row>
    <row r="51" spans="1:8">
      <c r="A51" s="257"/>
      <c r="B51" s="257" t="s">
        <v>497</v>
      </c>
      <c r="C51" s="262" t="s">
        <v>461</v>
      </c>
      <c r="D51" s="267">
        <v>23.140999999999998</v>
      </c>
      <c r="E51" s="257"/>
      <c r="F51" s="257"/>
      <c r="G51" s="257"/>
      <c r="H51" s="257"/>
    </row>
    <row r="52" spans="1:8">
      <c r="A52" s="257"/>
      <c r="B52" s="257" t="s">
        <v>498</v>
      </c>
      <c r="C52" s="262" t="s">
        <v>461</v>
      </c>
      <c r="D52" s="267">
        <v>92.722999999999999</v>
      </c>
      <c r="E52" s="257"/>
      <c r="F52" s="257"/>
      <c r="G52" s="257"/>
      <c r="H52" s="257"/>
    </row>
    <row r="53" spans="1:8">
      <c r="A53" s="257" t="s">
        <v>499</v>
      </c>
      <c r="B53" s="257" t="s">
        <v>493</v>
      </c>
      <c r="C53" s="262" t="s">
        <v>461</v>
      </c>
      <c r="D53" s="267">
        <v>11.602</v>
      </c>
      <c r="E53" s="257"/>
      <c r="F53" s="257"/>
      <c r="G53" s="257"/>
      <c r="H53" s="257"/>
    </row>
    <row r="54" spans="1:8">
      <c r="A54" s="257"/>
      <c r="B54" s="257" t="s">
        <v>500</v>
      </c>
      <c r="C54" s="262" t="s">
        <v>461</v>
      </c>
      <c r="D54" s="267">
        <v>23.140999999999998</v>
      </c>
      <c r="E54" s="257"/>
      <c r="F54" s="257"/>
      <c r="G54" s="257"/>
      <c r="H54" s="257"/>
    </row>
    <row r="55" spans="1:8">
      <c r="A55" s="257"/>
      <c r="B55" s="257" t="s">
        <v>501</v>
      </c>
      <c r="C55" s="262" t="s">
        <v>461</v>
      </c>
      <c r="D55" s="267">
        <v>92.722999999999999</v>
      </c>
      <c r="E55" s="257"/>
      <c r="F55" s="257"/>
      <c r="G55" s="257"/>
      <c r="H55" s="257"/>
    </row>
    <row r="56" spans="1:8">
      <c r="A56" s="257" t="s">
        <v>502</v>
      </c>
      <c r="B56" s="257" t="s">
        <v>503</v>
      </c>
      <c r="C56" s="262" t="s">
        <v>461</v>
      </c>
      <c r="D56" s="267">
        <v>11.602</v>
      </c>
      <c r="E56" s="257"/>
      <c r="F56" s="257"/>
      <c r="G56" s="257"/>
      <c r="H56" s="257"/>
    </row>
    <row r="57" spans="1:8">
      <c r="A57" s="257"/>
      <c r="B57" s="257" t="s">
        <v>504</v>
      </c>
      <c r="C57" s="262" t="s">
        <v>461</v>
      </c>
      <c r="D57" s="267">
        <v>23.140999999999998</v>
      </c>
      <c r="E57" s="257"/>
      <c r="F57" s="257"/>
      <c r="G57" s="257"/>
      <c r="H57" s="257"/>
    </row>
    <row r="58" spans="1:8">
      <c r="A58" s="257"/>
      <c r="B58" s="257" t="s">
        <v>505</v>
      </c>
      <c r="C58" s="262" t="s">
        <v>461</v>
      </c>
      <c r="D58" s="267">
        <v>92.722999999999999</v>
      </c>
      <c r="E58" s="257"/>
      <c r="F58" s="257"/>
      <c r="G58" s="257"/>
      <c r="H58" s="257"/>
    </row>
    <row r="59" spans="1:8">
      <c r="A59" s="257" t="s">
        <v>506</v>
      </c>
      <c r="B59" s="257" t="s">
        <v>507</v>
      </c>
      <c r="C59" s="262" t="s">
        <v>461</v>
      </c>
      <c r="D59" s="267">
        <v>11.602</v>
      </c>
      <c r="E59" s="257"/>
      <c r="F59" s="257"/>
      <c r="G59" s="257"/>
      <c r="H59" s="257"/>
    </row>
    <row r="60" spans="1:8">
      <c r="A60" s="257"/>
      <c r="B60" s="257" t="s">
        <v>508</v>
      </c>
      <c r="C60" s="262" t="s">
        <v>461</v>
      </c>
      <c r="D60" s="267">
        <v>23.140999999999998</v>
      </c>
      <c r="E60" s="257"/>
      <c r="F60" s="257"/>
      <c r="G60" s="257"/>
      <c r="H60" s="257"/>
    </row>
    <row r="61" spans="1:8">
      <c r="A61" s="257"/>
      <c r="B61" s="257" t="s">
        <v>509</v>
      </c>
      <c r="C61" s="262" t="s">
        <v>461</v>
      </c>
      <c r="D61" s="267">
        <v>92.722999999999999</v>
      </c>
      <c r="E61" s="257"/>
      <c r="F61" s="257"/>
      <c r="G61" s="257"/>
      <c r="H61" s="257"/>
    </row>
    <row r="62" spans="1:8">
      <c r="A62" s="257" t="s">
        <v>510</v>
      </c>
      <c r="B62" s="257" t="s">
        <v>511</v>
      </c>
      <c r="C62" s="262" t="s">
        <v>461</v>
      </c>
      <c r="D62" s="267">
        <v>11.602</v>
      </c>
      <c r="E62" s="257"/>
      <c r="F62" s="257"/>
      <c r="G62" s="257"/>
      <c r="H62" s="257"/>
    </row>
    <row r="63" spans="1:8">
      <c r="A63" s="257"/>
      <c r="B63" s="257" t="s">
        <v>512</v>
      </c>
      <c r="C63" s="262" t="s">
        <v>461</v>
      </c>
      <c r="D63" s="267">
        <v>115.875</v>
      </c>
      <c r="E63" s="257"/>
      <c r="F63" s="257"/>
      <c r="G63" s="257"/>
      <c r="H63" s="257"/>
    </row>
    <row r="64" spans="1:8">
      <c r="A64" s="257"/>
      <c r="B64" s="257" t="s">
        <v>513</v>
      </c>
      <c r="C64" s="262" t="s">
        <v>461</v>
      </c>
      <c r="D64" s="267">
        <v>1158.73</v>
      </c>
      <c r="E64" s="257"/>
      <c r="F64" s="257"/>
      <c r="G64" s="257"/>
      <c r="H64" s="257"/>
    </row>
    <row r="65" spans="1:8">
      <c r="A65" s="257" t="s">
        <v>514</v>
      </c>
      <c r="B65" s="257" t="s">
        <v>511</v>
      </c>
      <c r="C65" s="262" t="s">
        <v>461</v>
      </c>
      <c r="D65" s="267">
        <v>11.602</v>
      </c>
      <c r="E65" s="257"/>
      <c r="F65" s="257"/>
      <c r="G65" s="257"/>
      <c r="H65" s="257"/>
    </row>
    <row r="66" spans="1:8">
      <c r="A66" s="257"/>
      <c r="B66" s="257" t="s">
        <v>515</v>
      </c>
      <c r="C66" s="262" t="s">
        <v>461</v>
      </c>
      <c r="D66" s="267">
        <v>115.875</v>
      </c>
      <c r="E66" s="257"/>
      <c r="F66" s="257"/>
      <c r="G66" s="257"/>
      <c r="H66" s="257"/>
    </row>
    <row r="67" spans="1:8">
      <c r="A67" s="257"/>
      <c r="B67" s="257" t="s">
        <v>516</v>
      </c>
      <c r="C67" s="262" t="s">
        <v>461</v>
      </c>
      <c r="D67" s="267">
        <v>1158.73</v>
      </c>
      <c r="E67" s="257"/>
      <c r="F67" s="257"/>
      <c r="G67" s="257"/>
      <c r="H67" s="257"/>
    </row>
    <row r="68" spans="1:8">
      <c r="A68" s="257" t="s">
        <v>517</v>
      </c>
      <c r="B68" s="257" t="s">
        <v>511</v>
      </c>
      <c r="C68" s="262" t="s">
        <v>461</v>
      </c>
      <c r="D68" s="267">
        <v>11.602</v>
      </c>
      <c r="E68" s="257"/>
      <c r="F68" s="257"/>
      <c r="G68" s="257"/>
      <c r="H68" s="257"/>
    </row>
    <row r="69" spans="1:8">
      <c r="A69" s="257"/>
      <c r="B69" s="257" t="s">
        <v>518</v>
      </c>
      <c r="C69" s="262" t="s">
        <v>461</v>
      </c>
      <c r="D69" s="267">
        <v>115.875</v>
      </c>
      <c r="E69" s="257"/>
      <c r="F69" s="257"/>
      <c r="G69" s="257"/>
      <c r="H69" s="257"/>
    </row>
    <row r="70" spans="1:8">
      <c r="A70" s="257"/>
      <c r="B70" s="257" t="s">
        <v>519</v>
      </c>
      <c r="C70" s="262" t="s">
        <v>461</v>
      </c>
      <c r="D70" s="267">
        <v>1158.73</v>
      </c>
      <c r="E70" s="257"/>
      <c r="F70" s="257"/>
      <c r="G70" s="257"/>
      <c r="H70" s="257"/>
    </row>
    <row r="71" spans="1:8">
      <c r="A71" s="257" t="s">
        <v>520</v>
      </c>
      <c r="B71" s="257" t="s">
        <v>511</v>
      </c>
      <c r="C71" s="262" t="s">
        <v>461</v>
      </c>
      <c r="D71" s="267">
        <v>11.602</v>
      </c>
      <c r="E71" s="257"/>
      <c r="F71" s="257"/>
      <c r="G71" s="257"/>
      <c r="H71" s="257"/>
    </row>
    <row r="72" spans="1:8">
      <c r="A72" s="257"/>
      <c r="B72" s="257" t="s">
        <v>518</v>
      </c>
      <c r="C72" s="262" t="s">
        <v>461</v>
      </c>
      <c r="D72" s="267">
        <v>115.875</v>
      </c>
      <c r="E72" s="257"/>
      <c r="F72" s="257"/>
      <c r="G72" s="257"/>
      <c r="H72" s="257"/>
    </row>
    <row r="73" spans="1:8">
      <c r="A73" s="257"/>
      <c r="B73" s="257" t="s">
        <v>519</v>
      </c>
      <c r="C73" s="262" t="s">
        <v>461</v>
      </c>
      <c r="D73" s="267">
        <v>1158.73</v>
      </c>
      <c r="E73" s="257"/>
      <c r="F73" s="257"/>
      <c r="G73" s="257"/>
      <c r="H73" s="257"/>
    </row>
    <row r="74" spans="1:8">
      <c r="A74" s="257" t="s">
        <v>521</v>
      </c>
      <c r="B74" s="257" t="s">
        <v>522</v>
      </c>
      <c r="C74" s="262" t="s">
        <v>461</v>
      </c>
      <c r="D74" s="267">
        <v>11.602</v>
      </c>
      <c r="E74" s="257"/>
      <c r="F74" s="257"/>
      <c r="G74" s="257"/>
      <c r="H74" s="257"/>
    </row>
    <row r="75" spans="1:8">
      <c r="A75" s="257"/>
      <c r="B75" s="257" t="s">
        <v>523</v>
      </c>
      <c r="C75" s="262" t="s">
        <v>461</v>
      </c>
      <c r="D75" s="267">
        <v>115.875</v>
      </c>
      <c r="E75" s="257"/>
      <c r="F75" s="257"/>
      <c r="G75" s="257"/>
      <c r="H75" s="257"/>
    </row>
    <row r="76" spans="1:8">
      <c r="A76" s="257"/>
      <c r="B76" s="257" t="s">
        <v>524</v>
      </c>
      <c r="C76" s="262" t="s">
        <v>461</v>
      </c>
      <c r="D76" s="267">
        <v>1158.73</v>
      </c>
      <c r="E76" s="257"/>
      <c r="F76" s="257"/>
      <c r="G76" s="257"/>
      <c r="H76" s="257"/>
    </row>
    <row r="77" spans="1:8">
      <c r="A77" s="257" t="s">
        <v>525</v>
      </c>
      <c r="B77" s="257" t="s">
        <v>526</v>
      </c>
      <c r="C77" s="262" t="s">
        <v>461</v>
      </c>
      <c r="D77" s="267">
        <v>11.602</v>
      </c>
      <c r="E77" s="257"/>
      <c r="F77" s="257"/>
      <c r="G77" s="257"/>
      <c r="H77" s="257"/>
    </row>
    <row r="78" spans="1:8">
      <c r="A78" s="257"/>
      <c r="B78" s="257" t="s">
        <v>527</v>
      </c>
      <c r="C78" s="262" t="s">
        <v>461</v>
      </c>
      <c r="D78" s="267">
        <v>1158.73</v>
      </c>
      <c r="E78" s="257"/>
      <c r="F78" s="257"/>
      <c r="G78" s="257"/>
      <c r="H78" s="257"/>
    </row>
    <row r="79" spans="1:8">
      <c r="A79" s="257"/>
      <c r="B79" s="257" t="s">
        <v>528</v>
      </c>
      <c r="C79" s="262" t="s">
        <v>461</v>
      </c>
      <c r="D79" s="267">
        <v>8690.8040000000001</v>
      </c>
      <c r="E79" s="257"/>
      <c r="F79" s="257"/>
      <c r="G79" s="257"/>
      <c r="H79" s="257"/>
    </row>
    <row r="80" spans="1:8">
      <c r="A80" s="257"/>
      <c r="B80" s="257"/>
      <c r="C80" s="257"/>
      <c r="D80" s="257"/>
      <c r="E80" s="257"/>
      <c r="F80" s="257"/>
      <c r="G80" s="257"/>
      <c r="H80" s="257"/>
    </row>
    <row r="81" spans="1:9" ht="17.45">
      <c r="A81" s="257" t="s">
        <v>529</v>
      </c>
      <c r="B81" s="268">
        <v>123</v>
      </c>
      <c r="C81" s="213"/>
      <c r="D81" s="269" t="s">
        <v>530</v>
      </c>
      <c r="E81" s="269"/>
      <c r="F81" s="269"/>
      <c r="G81" s="269"/>
      <c r="H81" s="269"/>
    </row>
    <row r="82" spans="1:9" ht="17.45">
      <c r="A82" s="257" t="s">
        <v>531</v>
      </c>
      <c r="B82" s="268">
        <v>123</v>
      </c>
      <c r="C82" s="213"/>
      <c r="D82" s="269" t="s">
        <v>532</v>
      </c>
      <c r="E82" s="269"/>
      <c r="F82" s="269"/>
      <c r="G82" s="269"/>
      <c r="H82" s="269"/>
    </row>
    <row r="83" spans="1:9" ht="17.45">
      <c r="A83" s="257" t="s">
        <v>533</v>
      </c>
      <c r="B83" s="268">
        <v>43</v>
      </c>
      <c r="C83" s="213"/>
      <c r="D83" s="269" t="s">
        <v>532</v>
      </c>
      <c r="E83" s="269"/>
      <c r="F83" s="269"/>
      <c r="G83" s="269"/>
      <c r="H83" s="269"/>
    </row>
    <row r="84" spans="1:9" ht="17.45">
      <c r="A84" s="257" t="s">
        <v>534</v>
      </c>
      <c r="B84" s="268">
        <v>32</v>
      </c>
      <c r="C84" s="213"/>
      <c r="D84" s="269" t="s">
        <v>532</v>
      </c>
      <c r="E84" s="269"/>
      <c r="F84" s="269"/>
      <c r="G84" s="269"/>
      <c r="H84" s="269"/>
    </row>
    <row r="85" spans="1:9" ht="17.45">
      <c r="A85" s="257" t="s">
        <v>535</v>
      </c>
      <c r="B85" s="268">
        <v>63</v>
      </c>
      <c r="C85" s="213"/>
      <c r="D85" s="269" t="s">
        <v>536</v>
      </c>
      <c r="E85" s="269"/>
      <c r="F85" s="269"/>
      <c r="G85" s="269"/>
      <c r="H85" s="269"/>
    </row>
    <row r="86" spans="1:9" ht="17.45">
      <c r="A86" s="257"/>
      <c r="B86" s="268"/>
      <c r="C86" s="213"/>
      <c r="D86" s="269"/>
      <c r="E86" s="269"/>
      <c r="F86" s="269"/>
      <c r="G86" s="269"/>
      <c r="H86" s="269"/>
    </row>
    <row r="87" spans="1:9" ht="17.45">
      <c r="A87" s="257"/>
      <c r="B87" s="268"/>
      <c r="C87" s="213"/>
      <c r="D87" s="269"/>
      <c r="E87" s="269"/>
      <c r="F87" s="269"/>
      <c r="G87" s="269"/>
      <c r="H87" s="269"/>
    </row>
    <row r="88" spans="1:9" ht="17.45">
      <c r="A88" s="257"/>
      <c r="B88" s="268"/>
      <c r="C88" s="213"/>
      <c r="D88" s="269"/>
      <c r="E88" s="269"/>
      <c r="F88" s="269"/>
      <c r="G88" s="269"/>
      <c r="H88" s="269"/>
    </row>
    <row r="89" spans="1:9" ht="17.45">
      <c r="A89" s="257"/>
      <c r="B89" s="268"/>
      <c r="C89" s="213"/>
      <c r="D89" s="269"/>
      <c r="E89" s="269"/>
      <c r="F89" s="269"/>
      <c r="G89" s="269"/>
      <c r="H89" s="269"/>
    </row>
    <row r="90" spans="1:9">
      <c r="A90" s="257"/>
      <c r="B90" s="257"/>
      <c r="C90" s="257"/>
      <c r="D90" s="257"/>
      <c r="E90" s="257"/>
      <c r="F90" s="257"/>
      <c r="G90" s="257"/>
      <c r="H90" s="257"/>
    </row>
    <row r="91" spans="1:9">
      <c r="A91" s="257" t="s">
        <v>537</v>
      </c>
      <c r="B91" s="257"/>
      <c r="C91" s="262" t="s">
        <v>461</v>
      </c>
      <c r="D91" s="257"/>
      <c r="E91" s="265">
        <v>1.7569999999999999</v>
      </c>
      <c r="F91" s="257"/>
      <c r="G91" s="257"/>
      <c r="H91" s="257"/>
    </row>
    <row r="92" spans="1:9">
      <c r="A92" s="257"/>
      <c r="B92" s="257"/>
      <c r="C92" s="257"/>
      <c r="D92" s="257"/>
      <c r="E92" s="257"/>
      <c r="F92" s="257"/>
      <c r="G92" s="257"/>
      <c r="H92" s="257"/>
    </row>
    <row r="93" spans="1:9">
      <c r="A93" s="11" t="s">
        <v>538</v>
      </c>
      <c r="B93" s="342"/>
      <c r="C93" s="12"/>
      <c r="D93" s="13"/>
      <c r="E93" s="13"/>
      <c r="F93" s="13"/>
      <c r="G93" s="13"/>
      <c r="H93" s="13" t="s">
        <v>561</v>
      </c>
    </row>
    <row r="94" spans="1:9">
      <c r="A94" s="257"/>
      <c r="B94" s="257"/>
      <c r="C94" s="257"/>
      <c r="D94" s="257" t="s">
        <v>540</v>
      </c>
      <c r="E94" s="257"/>
      <c r="F94" s="257"/>
      <c r="G94" s="257" t="s">
        <v>562</v>
      </c>
      <c r="H94" s="257"/>
    </row>
    <row r="95" spans="1:9">
      <c r="A95" s="257" t="s">
        <v>563</v>
      </c>
      <c r="B95" s="257" t="s">
        <v>543</v>
      </c>
      <c r="C95" s="257"/>
      <c r="D95" s="257"/>
      <c r="E95" s="257">
        <v>0</v>
      </c>
      <c r="F95" s="257"/>
      <c r="G95" s="257"/>
      <c r="H95" s="270">
        <v>132.77000000000001</v>
      </c>
      <c r="I95" s="257" t="s">
        <v>442</v>
      </c>
    </row>
    <row r="96" spans="1:9">
      <c r="A96" s="257"/>
      <c r="B96" s="257"/>
      <c r="C96" s="257"/>
      <c r="D96" s="257"/>
      <c r="E96" s="257"/>
      <c r="F96" s="257"/>
      <c r="G96" s="257"/>
      <c r="H96" s="269"/>
    </row>
    <row r="97" spans="1:9">
      <c r="A97" s="257" t="s">
        <v>564</v>
      </c>
      <c r="B97" s="257" t="s">
        <v>545</v>
      </c>
      <c r="C97" s="257"/>
      <c r="D97" s="257"/>
      <c r="E97" s="257">
        <v>0</v>
      </c>
      <c r="F97" s="257"/>
      <c r="G97" s="257"/>
      <c r="H97" s="270">
        <v>120.68</v>
      </c>
    </row>
    <row r="98" spans="1:9">
      <c r="A98" s="257"/>
      <c r="B98" s="257"/>
      <c r="C98" s="257"/>
      <c r="D98" s="257"/>
      <c r="E98" s="257"/>
      <c r="F98" s="257"/>
      <c r="G98" s="257"/>
      <c r="H98" s="269"/>
    </row>
    <row r="99" spans="1:9">
      <c r="A99" s="257" t="s">
        <v>564</v>
      </c>
      <c r="B99" s="257" t="s">
        <v>546</v>
      </c>
      <c r="C99" s="257" t="s">
        <v>547</v>
      </c>
      <c r="D99" s="257"/>
      <c r="E99" s="270">
        <v>1412.51</v>
      </c>
      <c r="F99" s="257"/>
      <c r="G99" s="257"/>
      <c r="H99" s="257">
        <v>0</v>
      </c>
      <c r="I99" s="257" t="s">
        <v>442</v>
      </c>
    </row>
    <row r="100" spans="1:9">
      <c r="A100" s="257"/>
      <c r="B100" s="257"/>
      <c r="C100" s="257"/>
      <c r="D100" s="257"/>
      <c r="E100" s="269"/>
      <c r="F100" s="257"/>
      <c r="G100" s="257"/>
      <c r="H100" s="269"/>
    </row>
    <row r="101" spans="1:9">
      <c r="A101" s="257" t="s">
        <v>564</v>
      </c>
      <c r="B101" s="257" t="s">
        <v>548</v>
      </c>
      <c r="C101" s="257" t="s">
        <v>549</v>
      </c>
      <c r="D101" s="257"/>
      <c r="E101" s="270">
        <v>1412.51</v>
      </c>
      <c r="F101" s="257"/>
      <c r="G101" s="257"/>
      <c r="H101" s="270">
        <v>5.39</v>
      </c>
      <c r="I101" s="257" t="s">
        <v>442</v>
      </c>
    </row>
    <row r="102" spans="1:9">
      <c r="A102" s="257"/>
      <c r="B102" s="257"/>
      <c r="C102" s="257"/>
      <c r="D102" s="257"/>
      <c r="E102" s="257"/>
      <c r="F102" s="257"/>
      <c r="G102" s="257"/>
      <c r="H102" s="269"/>
    </row>
    <row r="103" spans="1:9">
      <c r="A103" s="257" t="s">
        <v>565</v>
      </c>
      <c r="B103" s="257" t="s">
        <v>551</v>
      </c>
      <c r="C103" s="257"/>
      <c r="D103" s="257"/>
      <c r="E103" s="257">
        <v>0</v>
      </c>
      <c r="F103" s="257"/>
      <c r="G103" s="257"/>
      <c r="H103" s="270">
        <v>130.46</v>
      </c>
      <c r="I103" s="257" t="s">
        <v>442</v>
      </c>
    </row>
    <row r="104" spans="1:9">
      <c r="A104" s="257"/>
      <c r="B104" s="257"/>
      <c r="C104" s="257"/>
      <c r="D104" s="257"/>
      <c r="E104" s="257"/>
      <c r="F104" s="257"/>
      <c r="G104" s="257"/>
      <c r="H104" s="269"/>
    </row>
    <row r="105" spans="1:9">
      <c r="A105" s="257" t="s">
        <v>566</v>
      </c>
      <c r="B105" s="257" t="s">
        <v>553</v>
      </c>
      <c r="C105" s="257"/>
      <c r="D105" s="257"/>
      <c r="E105" s="257">
        <v>0</v>
      </c>
      <c r="F105" s="257"/>
      <c r="G105" s="257"/>
      <c r="H105" s="270">
        <v>60.5</v>
      </c>
      <c r="I105" s="257" t="s">
        <v>442</v>
      </c>
    </row>
    <row r="106" spans="1:9">
      <c r="A106" s="257"/>
      <c r="B106" s="257"/>
      <c r="C106" s="257"/>
      <c r="D106" s="257"/>
      <c r="E106" s="257"/>
      <c r="F106" s="257"/>
      <c r="G106" s="257"/>
      <c r="H106" s="269"/>
    </row>
    <row r="107" spans="1:9">
      <c r="A107" s="257" t="s">
        <v>567</v>
      </c>
      <c r="B107" s="257" t="s">
        <v>555</v>
      </c>
      <c r="C107" s="257"/>
      <c r="D107" s="257"/>
      <c r="E107" s="257">
        <v>0</v>
      </c>
      <c r="F107" s="257"/>
      <c r="G107" s="257"/>
      <c r="H107" s="270">
        <v>54.78</v>
      </c>
      <c r="I107" s="257" t="s">
        <v>442</v>
      </c>
    </row>
    <row r="108" spans="1:9">
      <c r="A108" s="343"/>
      <c r="B108" s="343"/>
      <c r="C108" s="343"/>
      <c r="D108" s="343"/>
      <c r="E108" s="343"/>
      <c r="F108" s="343"/>
      <c r="G108" s="343"/>
      <c r="H108" s="343"/>
    </row>
  </sheetData>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64286382FEB4249BC201721E7AB38DE" ma:contentTypeVersion="6" ma:contentTypeDescription="Create a new document." ma:contentTypeScope="" ma:versionID="dc14848969297f60910a22b48dc950d6">
  <xsd:schema xmlns:xsd="http://www.w3.org/2001/XMLSchema" xmlns:xs="http://www.w3.org/2001/XMLSchema" xmlns:p="http://schemas.microsoft.com/office/2006/metadata/properties" xmlns:ns2="2f98289d-fec7-4e5d-b185-694aec4c2524" xmlns:ns3="68af4508-9deb-4d32-b573-677f20997d14" targetNamespace="http://schemas.microsoft.com/office/2006/metadata/properties" ma:root="true" ma:fieldsID="f573d234ab0975121ad0a91017789255" ns2:_="" ns3:_="">
    <xsd:import namespace="2f98289d-fec7-4e5d-b185-694aec4c2524"/>
    <xsd:import namespace="68af4508-9deb-4d32-b573-677f20997d1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8289d-fec7-4e5d-b185-694aec4c252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8af4508-9deb-4d32-b573-677f20997d1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A01233-B1F0-4E4A-934D-CB357234853B}"/>
</file>

<file path=customXml/itemProps2.xml><?xml version="1.0" encoding="utf-8"?>
<ds:datastoreItem xmlns:ds="http://schemas.openxmlformats.org/officeDocument/2006/customXml" ds:itemID="{AEBA711F-235D-433F-8CAC-B4098FFC9CFB}"/>
</file>

<file path=customXml/itemProps3.xml><?xml version="1.0" encoding="utf-8"?>
<ds:datastoreItem xmlns:ds="http://schemas.openxmlformats.org/officeDocument/2006/customXml" ds:itemID="{4F75E5BF-C4D6-4DA3-B684-6C8F09D358CD}"/>
</file>

<file path=docProps/app.xml><?xml version="1.0" encoding="utf-8"?>
<Properties xmlns="http://schemas.openxmlformats.org/officeDocument/2006/extended-properties" xmlns:vt="http://schemas.openxmlformats.org/officeDocument/2006/docPropsVTypes">
  <Application>Microsoft Excel Online</Application>
  <Manager/>
  <Company>Water Corporation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Jerkovic</dc:creator>
  <cp:keywords/>
  <dc:description/>
  <cp:lastModifiedBy>Elizabeth Karas</cp:lastModifiedBy>
  <cp:revision/>
  <dcterms:created xsi:type="dcterms:W3CDTF">2016-07-12T06:22:03Z</dcterms:created>
  <dcterms:modified xsi:type="dcterms:W3CDTF">2024-07-22T02:53:30Z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0x010100C64286382FEB4249BC201721E7AB38DE</vt:lpwstr>
  </property>
</Properties>
</file>