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24915" windowHeight="9870" tabRatio="692" activeTab="0"/>
  </bookViews>
  <sheets>
    <sheet name="Design Sheet" sheetId="1" r:id="rId1"/>
    <sheet name="Selection Lists" sheetId="2" r:id="rId2"/>
    <sheet name="PMP Licence Details" sheetId="3" r:id="rId3"/>
    <sheet name="PP Licence Details" sheetId="4" r:id="rId4"/>
  </sheets>
  <definedNames>
    <definedName name="Antennas">'Selection Lists'!$E$2:$E$30</definedName>
    <definedName name="Boolean">'Selection Lists'!$R$2:$R$4</definedName>
    <definedName name="Cables">'Selection Lists'!$A$2:$A$30</definedName>
    <definedName name="Licence">'Selection Lists'!$Y$1:$Y$30</definedName>
    <definedName name="Poles">'Selection Lists'!$T$2:$T$30</definedName>
    <definedName name="_xlnm.Print_Area" localSheetId="0">'Design Sheet'!$A$1:$X$76</definedName>
    <definedName name="_xlnm.Print_Area" localSheetId="2">'PMP Licence Details'!$A$1:$B$25</definedName>
    <definedName name="_xlnm.Print_Area" localSheetId="3">'PP Licence Details'!$A$1:$C$29</definedName>
    <definedName name="Radio">'Selection Lists'!$J$2:$J$33</definedName>
    <definedName name="RadioFull">'Selection Lists'!$J$3:$M$33</definedName>
    <definedName name="Ranges">'Selection Lists'!$V$2:$V$30</definedName>
    <definedName name="Values">'Selection Lists'!$P$2:$P$12</definedName>
  </definedNames>
  <calcPr fullCalcOnLoad="1"/>
</workbook>
</file>

<file path=xl/comments2.xml><?xml version="1.0" encoding="utf-8"?>
<comments xmlns="http://schemas.openxmlformats.org/spreadsheetml/2006/main">
  <authors>
    <author>Alan Haime</author>
  </authors>
  <commentList>
    <comment ref="A1" authorId="0">
      <text>
        <r>
          <rPr>
            <b/>
            <sz val="8"/>
            <rFont val="Tahoma"/>
            <family val="0"/>
          </rPr>
          <t>Alan Haime:</t>
        </r>
        <r>
          <rPr>
            <sz val="8"/>
            <rFont val="Tahoma"/>
            <family val="0"/>
          </rPr>
          <t xml:space="preserve">
Additional items can be added to the lookup list below. </t>
        </r>
      </text>
    </comment>
    <comment ref="E1" authorId="0">
      <text>
        <r>
          <rPr>
            <b/>
            <sz val="8"/>
            <rFont val="Tahoma"/>
            <family val="0"/>
          </rPr>
          <t>Alan Haime:</t>
        </r>
        <r>
          <rPr>
            <sz val="8"/>
            <rFont val="Tahoma"/>
            <family val="0"/>
          </rPr>
          <t xml:space="preserve">
Additional items can be added to the lookup list below. </t>
        </r>
      </text>
    </comment>
    <comment ref="J1" authorId="0">
      <text>
        <r>
          <rPr>
            <b/>
            <sz val="8"/>
            <rFont val="Tahoma"/>
            <family val="0"/>
          </rPr>
          <t>Alan Haime:</t>
        </r>
        <r>
          <rPr>
            <sz val="8"/>
            <rFont val="Tahoma"/>
            <family val="0"/>
          </rPr>
          <t xml:space="preserve">
Additional items can be added to the lookup list below. </t>
        </r>
      </text>
    </comment>
    <comment ref="K1" authorId="0">
      <text>
        <r>
          <rPr>
            <b/>
            <sz val="8"/>
            <rFont val="Tahoma"/>
            <family val="0"/>
          </rPr>
          <t>Alan Haime:</t>
        </r>
        <r>
          <rPr>
            <sz val="8"/>
            <rFont val="Tahoma"/>
            <family val="0"/>
          </rPr>
          <t xml:space="preserve">
Additional items can be added to the lookup list below. </t>
        </r>
      </text>
    </comment>
    <comment ref="T1" authorId="0">
      <text>
        <r>
          <rPr>
            <b/>
            <sz val="8"/>
            <rFont val="Tahoma"/>
            <family val="0"/>
          </rPr>
          <t>Alan Haime:</t>
        </r>
        <r>
          <rPr>
            <sz val="8"/>
            <rFont val="Tahoma"/>
            <family val="0"/>
          </rPr>
          <t xml:space="preserve">
Additional items can be added to the lookup list below. </t>
        </r>
      </text>
    </comment>
  </commentList>
</comments>
</file>

<file path=xl/sharedStrings.xml><?xml version="1.0" encoding="utf-8"?>
<sst xmlns="http://schemas.openxmlformats.org/spreadsheetml/2006/main" count="336" uniqueCount="216">
  <si>
    <t>Measured
(dBm)</t>
  </si>
  <si>
    <t>Selected Pole Height (m)</t>
  </si>
  <si>
    <t>Roof Mount</t>
  </si>
  <si>
    <t>Cables</t>
  </si>
  <si>
    <t>Antenna</t>
  </si>
  <si>
    <t>YBSS6</t>
  </si>
  <si>
    <t>YBSS9</t>
  </si>
  <si>
    <t>YBSS16</t>
  </si>
  <si>
    <t>Radio Type</t>
  </si>
  <si>
    <t>COL8</t>
  </si>
  <si>
    <t>Unity Gain</t>
  </si>
  <si>
    <t>Feeder Type</t>
  </si>
  <si>
    <t>Values</t>
  </si>
  <si>
    <t>Boolean</t>
  </si>
  <si>
    <t>Yes</t>
  </si>
  <si>
    <t>No</t>
  </si>
  <si>
    <t>Pole Selection</t>
  </si>
  <si>
    <t>Free Standing</t>
  </si>
  <si>
    <t>Guyed</t>
  </si>
  <si>
    <t>Lattice</t>
  </si>
  <si>
    <t>Existing</t>
  </si>
  <si>
    <t>Select Mast</t>
  </si>
  <si>
    <t>&lt;Select Radio&gt;</t>
  </si>
  <si>
    <t>&lt;Select Cable&gt;</t>
  </si>
  <si>
    <t>&lt;Select&gt;</t>
  </si>
  <si>
    <t>&lt;Select Antenna&gt;</t>
  </si>
  <si>
    <t>Tank Mount</t>
  </si>
  <si>
    <t>Elpro (450-470 MHz)</t>
  </si>
  <si>
    <t>Cubicle Flush Mount</t>
  </si>
  <si>
    <t>Cubicle Side Mount</t>
  </si>
  <si>
    <t>COL7</t>
  </si>
  <si>
    <t>Wall Mount</t>
  </si>
  <si>
    <t>Quad Stack</t>
  </si>
  <si>
    <t>Low Profile</t>
  </si>
  <si>
    <t>TX Freq (MHz)</t>
  </si>
  <si>
    <t>CNT-400</t>
  </si>
  <si>
    <t>LDF4-50</t>
  </si>
  <si>
    <t>LDF5-50</t>
  </si>
  <si>
    <t>Loss/m (400-520)</t>
  </si>
  <si>
    <t>Loss/m (806-960)</t>
  </si>
  <si>
    <t>Frequency Range</t>
  </si>
  <si>
    <t>(400-520)</t>
  </si>
  <si>
    <t>Column</t>
  </si>
  <si>
    <t>&lt;Frequency Range&gt;</t>
  </si>
  <si>
    <t>UHF Radio Design</t>
  </si>
  <si>
    <t>Project No.</t>
  </si>
  <si>
    <t>Document No.</t>
  </si>
  <si>
    <t>First Road</t>
  </si>
  <si>
    <t>Second Road</t>
  </si>
  <si>
    <t>Mr Pink</t>
  </si>
  <si>
    <t>Mr White</t>
  </si>
  <si>
    <t>Feeder Specification</t>
  </si>
  <si>
    <t>Antenna Specification</t>
  </si>
  <si>
    <t>RG-213</t>
  </si>
  <si>
    <t>C - W0123456</t>
  </si>
  <si>
    <t>Northing (MGA 94)</t>
  </si>
  <si>
    <t>Easting (MGA 94)</t>
  </si>
  <si>
    <t>Latitude (GDA94)</t>
  </si>
  <si>
    <t>Path Length Site A to Site B (Km)</t>
  </si>
  <si>
    <t>Bearing to Site A</t>
  </si>
  <si>
    <t>Bearing to Site B</t>
  </si>
  <si>
    <t>Project Name:</t>
  </si>
  <si>
    <t>Client:</t>
  </si>
  <si>
    <t>Project Manager:</t>
  </si>
  <si>
    <t>Design Manager:</t>
  </si>
  <si>
    <t>Feeder Length (m)</t>
  </si>
  <si>
    <t>Number of Connectors</t>
  </si>
  <si>
    <t>Calculated
Gain/Loss</t>
  </si>
  <si>
    <t>Project Information</t>
  </si>
  <si>
    <t>Site A Details</t>
  </si>
  <si>
    <t>Name:</t>
  </si>
  <si>
    <t>Site B Details</t>
  </si>
  <si>
    <t>Bearing (deg)</t>
  </si>
  <si>
    <t>Antenna Gain (dBi)</t>
  </si>
  <si>
    <t>Radio Power Output (dBm)</t>
  </si>
  <si>
    <t>Receiver Sensitivity for BER of 1.0E-6 (dBm)</t>
  </si>
  <si>
    <t>Fade Margin Local Site (dB)</t>
  </si>
  <si>
    <t>Fade Margin Adjacent Site (dB)</t>
  </si>
  <si>
    <t>Design Summary</t>
  </si>
  <si>
    <t>Design Requirements</t>
  </si>
  <si>
    <t>Pole/Mast Type</t>
  </si>
  <si>
    <t>Fade Margin (dB)</t>
  </si>
  <si>
    <t>DCF
(dB)</t>
  </si>
  <si>
    <t>EIRP (W)</t>
  </si>
  <si>
    <t>Calculated Free Space Path Loss (dBi)</t>
  </si>
  <si>
    <t>Duplexer</t>
  </si>
  <si>
    <t>Surge Arrester</t>
  </si>
  <si>
    <t>Radio Cable Tail</t>
  </si>
  <si>
    <t>Misc</t>
  </si>
  <si>
    <t>Measurements and Expected:</t>
  </si>
  <si>
    <t>Expected
(dBm)</t>
  </si>
  <si>
    <t>PMP</t>
  </si>
  <si>
    <t>Radio Licence Type</t>
  </si>
  <si>
    <t>Measured Path Loss @ Selected Pole Height (dBi)</t>
  </si>
  <si>
    <t>Measured/Calculated Path Losses</t>
  </si>
  <si>
    <t>Notes:</t>
  </si>
  <si>
    <t>Path Details</t>
  </si>
  <si>
    <t>Path Length (km)</t>
  </si>
  <si>
    <t>-31 20 05.00</t>
  </si>
  <si>
    <t>115 53 52.00</t>
  </si>
  <si>
    <t>-31 17 33.69</t>
  </si>
  <si>
    <t>115 54 09.21</t>
  </si>
  <si>
    <t>6</t>
  </si>
  <si>
    <t>186</t>
  </si>
  <si>
    <t>Antenna Type (gain in dBi)</t>
  </si>
  <si>
    <t>"Name" Water / Wastewater Scheme</t>
  </si>
  <si>
    <t>Insert Alliance Partner Logo Here</t>
  </si>
  <si>
    <t>BA80 Dipole Array</t>
  </si>
  <si>
    <t xml:space="preserve">Measured Additional Diffraction and Other Path Losses (dB) </t>
  </si>
  <si>
    <t xml:space="preserve">Enter data or select options in white cells. </t>
  </si>
  <si>
    <t>Results are automatically calculated and entered into green cells.</t>
  </si>
  <si>
    <t>All green cells are locked.</t>
  </si>
  <si>
    <t>Zone (MGA 94)</t>
  </si>
  <si>
    <t>RL (m)</t>
  </si>
  <si>
    <t>Antenna Height AGL (m)</t>
  </si>
  <si>
    <t xml:space="preserve">Required RSL: </t>
  </si>
  <si>
    <t>Pole Height:</t>
  </si>
  <si>
    <t>Chart Axis</t>
  </si>
  <si>
    <t>Y min</t>
  </si>
  <si>
    <t>Y max</t>
  </si>
  <si>
    <t>X min</t>
  </si>
  <si>
    <t>X max</t>
  </si>
  <si>
    <t>Expected RSSI (dBm) = Measured RSSI (dBm) + DCF (dB).</t>
  </si>
  <si>
    <t>Select graph X and Y axes scales and legend location manually.</t>
  </si>
  <si>
    <t>Total Feeder Length (m)</t>
  </si>
  <si>
    <t>Horizontal Feeder Length (m)</t>
  </si>
  <si>
    <t>Total Feeder Length is automatically calculated: Total Feeder Length = Horizontal Feeder Length + Antenna Height.</t>
  </si>
  <si>
    <t/>
  </si>
  <si>
    <t>Other Test Losses/Gains (loss -ve)</t>
  </si>
  <si>
    <t>Other Losses/Gains (loss-ve)</t>
  </si>
  <si>
    <t>Geographic latitude (GDA94)</t>
  </si>
  <si>
    <t>Geographic longitude (GDA94)</t>
  </si>
  <si>
    <t>Grid easting (MGA94)</t>
  </si>
  <si>
    <t>Grid northing (MGA94)</t>
  </si>
  <si>
    <t xml:space="preserve">Antenna type and model </t>
  </si>
  <si>
    <t xml:space="preserve">Antenna support structure </t>
  </si>
  <si>
    <t xml:space="preserve">Antenna polarisation </t>
  </si>
  <si>
    <t>Application for Point to Multipoint Radio Licence</t>
  </si>
  <si>
    <t>Additional information</t>
  </si>
  <si>
    <t>Vertical</t>
  </si>
  <si>
    <t>Name of the structure housing the equipment 
eg electrical cubicle or equipment hut</t>
  </si>
  <si>
    <t>Street address of site 
eg 25 Smith St, Location 2435 or 400m NW of intersection . . .</t>
  </si>
  <si>
    <t>Source of coordinates 
eg GPS, map (details) or other means</t>
  </si>
  <si>
    <t>PMP base station repeater site name</t>
  </si>
  <si>
    <t>Antenna height above ground level (m)</t>
  </si>
  <si>
    <t xml:space="preserve">Transmitter output power (dBm) </t>
  </si>
  <si>
    <t>Frequency TX band (MHz)</t>
  </si>
  <si>
    <t>ACMA Client name and address</t>
  </si>
  <si>
    <t>ACMA Client number</t>
  </si>
  <si>
    <t>Application for Point to Point Radio Licence</t>
  </si>
  <si>
    <t>Site A</t>
  </si>
  <si>
    <t>Site B</t>
  </si>
  <si>
    <t>Longitude (GDA94)</t>
  </si>
  <si>
    <t>Grid zone (MGA)</t>
  </si>
  <si>
    <t>PP site name</t>
  </si>
  <si>
    <t xml:space="preserve">Antenna polarisation
ie horizontal (preferred) or vertical </t>
  </si>
  <si>
    <t>Grid zone (MGA94)</t>
  </si>
  <si>
    <t>Horizontal</t>
  </si>
  <si>
    <t>CellFoil</t>
  </si>
  <si>
    <t>Item</t>
  </si>
  <si>
    <t>RTU Cubicle</t>
  </si>
  <si>
    <t>123 First Rd, Clarkesville</t>
  </si>
  <si>
    <t>GPS</t>
  </si>
  <si>
    <t>PS Building</t>
  </si>
  <si>
    <t>123 First Rd Clarkesville</t>
  </si>
  <si>
    <t>345 Second Rd Clarksesville</t>
  </si>
  <si>
    <t>Site A
Antenna
Height (AGL)</t>
  </si>
  <si>
    <t>Site B
Antenna
Height (AGL)</t>
  </si>
  <si>
    <t>Expected RSSI Local Site (dBm)</t>
  </si>
  <si>
    <t>Expected RSSI Adjacent Site (dBm)</t>
  </si>
  <si>
    <t>Fixed loss (duplexer, feeder cable, connectors &amp; surge suppressor, dB)</t>
  </si>
  <si>
    <t>Path length (km)</t>
  </si>
  <si>
    <t>Group Number</t>
  </si>
  <si>
    <t>Model Number</t>
  </si>
  <si>
    <t>Sensitivity (dBm)</t>
  </si>
  <si>
    <t>Application Notes</t>
  </si>
  <si>
    <t>Other</t>
  </si>
  <si>
    <t>Licensed bands</t>
  </si>
  <si>
    <t>Rec.Sensitivity (dBm)</t>
  </si>
  <si>
    <t>Radio channel bandwidth (kHz) 
ie 12.5kHz, 25kHz or 50kHz</t>
  </si>
  <si>
    <t>Water Corporation (WA)
PO Box 100 LEEDERVILLE WA 6902</t>
  </si>
  <si>
    <t xml:space="preserve">4RF SR+ radio equipment type </t>
  </si>
  <si>
    <t>Radio channel bandwidth (kHz) 
ie 12.5kHz, 25kHz 50kHz</t>
  </si>
  <si>
    <t>Not to be used unless express permission is granted by the Principal SCADA Engineer, Operational Technology</t>
  </si>
  <si>
    <t>Data rate (kb/s)</t>
  </si>
  <si>
    <t>Bandwidth</t>
  </si>
  <si>
    <t xml:space="preserve">4RF SR+ </t>
  </si>
  <si>
    <t>4RF SR+</t>
  </si>
  <si>
    <t>64QAM - Low gain (12.5)</t>
  </si>
  <si>
    <t>64QAM - High Gain (12.5)</t>
  </si>
  <si>
    <t>16QAM (12.5)</t>
  </si>
  <si>
    <t>16QAM - Low Gain (12.5)</t>
  </si>
  <si>
    <t>QPSK - Low Gain (12.5)</t>
  </si>
  <si>
    <t>QPSK (12.5)</t>
  </si>
  <si>
    <t>16QAM - High Gain (12.5)</t>
  </si>
  <si>
    <t>QPSK - High Gain (12.5)</t>
  </si>
  <si>
    <t>64QAM - Low gain (25)</t>
  </si>
  <si>
    <t>64QAM - High Gain (25)</t>
  </si>
  <si>
    <t>16QAM (25)</t>
  </si>
  <si>
    <t>16QAM - Low Gain (25)</t>
  </si>
  <si>
    <t>QPSK (25)</t>
  </si>
  <si>
    <t>QPSK - Low Gain (25)</t>
  </si>
  <si>
    <t>16QAM - High Gain (25)</t>
  </si>
  <si>
    <t>QPSK - High Gain (25)</t>
  </si>
  <si>
    <t>64QAM - Low gain (50)</t>
  </si>
  <si>
    <t>64QAM - High Gain (50)</t>
  </si>
  <si>
    <t>16QAM (50)</t>
  </si>
  <si>
    <t>16QAM - Low Gain (50)</t>
  </si>
  <si>
    <t>16QAM - High Gain (50)</t>
  </si>
  <si>
    <t>QPSK (50)</t>
  </si>
  <si>
    <t>QPSK - Low Gain (50)</t>
  </si>
  <si>
    <t>QPSK - High Gain (50)</t>
  </si>
  <si>
    <t>Data speed (kbps)</t>
  </si>
  <si>
    <t>Emission Designator</t>
  </si>
  <si>
    <t>Gain (dBi)</t>
  </si>
  <si>
    <t xml:space="preserve">Data speed (kbps)
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</si>
</sst>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0\°"/>
    <numFmt numFmtId="176" formatCode="00\'"/>
    <numFmt numFmtId="177" formatCode="00.00\&quot;"/>
    <numFmt numFmtId="178" formatCode="000\°"/>
    <numFmt numFmtId="179" formatCode="0.000\ 000\ 000\ 000"/>
    <numFmt numFmtId="180" formatCode="0.000\ 000\ 000\°"/>
    <numFmt numFmtId="181" formatCode="0\°"/>
    <numFmt numFmtId="182" formatCode="0.00000"/>
    <numFmt numFmtId="183" formatCode="0.00000\&quot;"/>
    <numFmt numFmtId="184" formatCode="000,000.0000"/>
    <numFmt numFmtId="185" formatCode="00,000.000"/>
    <numFmt numFmtId="186" formatCode="0,000.0000"/>
    <numFmt numFmtId="187" formatCode="000,000.000"/>
    <numFmt numFmtId="188" formatCode="00.000\&quot;"/>
    <numFmt numFmtId="189" formatCode="0.000\ 000\ 0000"/>
    <numFmt numFmtId="190" formatCode="00.00000\&quot;"/>
    <numFmt numFmtId="191" formatCode="0,000,000.000"/>
    <numFmt numFmtId="192" formatCode="0.000000000000"/>
    <numFmt numFmtId="193" formatCode="0.000000000"/>
    <numFmt numFmtId="194" formatCode="00.00"/>
    <numFmt numFmtId="195" formatCode="00.000"/>
    <numFmt numFmtId="196" formatCode="00"/>
    <numFmt numFmtId="197" formatCode="0.000\&quot;"/>
    <numFmt numFmtId="198" formatCode="0.000\ 000\ 000"/>
    <numFmt numFmtId="199" formatCode="00.000\ 000\ 000\°"/>
    <numFmt numFmtId="200" formatCode="00.000\ 00\&quot;"/>
    <numFmt numFmtId="201" formatCode="0.00000000"/>
    <numFmt numFmtId="202" formatCode="0.0\°"/>
    <numFmt numFmtId="203" formatCode="0.0000000"/>
    <numFmt numFmtId="204" formatCode="0.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C09]dddd\,\ d\ mmmm\ yyyy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5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sz val="14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63"/>
      <name val="Arial"/>
      <family val="0"/>
    </font>
    <font>
      <b/>
      <sz val="8"/>
      <color indexed="63"/>
      <name val="Arial"/>
      <family val="0"/>
    </font>
    <font>
      <b/>
      <sz val="12"/>
      <color indexed="63"/>
      <name val="Arial"/>
      <family val="0"/>
    </font>
    <font>
      <sz val="7.35"/>
      <color indexed="63"/>
      <name val="Arial"/>
      <family val="0"/>
    </font>
    <font>
      <sz val="1.5"/>
      <color indexed="63"/>
      <name val="Arial"/>
      <family val="0"/>
    </font>
    <font>
      <b/>
      <sz val="1"/>
      <color indexed="63"/>
      <name val="Arial"/>
      <family val="0"/>
    </font>
    <font>
      <b/>
      <sz val="1.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174" fontId="3" fillId="33" borderId="29" xfId="0" applyNumberFormat="1" applyFont="1" applyFill="1" applyBorder="1" applyAlignment="1" applyProtection="1">
      <alignment horizontal="center" vertical="center"/>
      <protection/>
    </xf>
    <xf numFmtId="174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174" fontId="3" fillId="33" borderId="13" xfId="0" applyNumberFormat="1" applyFont="1" applyFill="1" applyBorder="1" applyAlignment="1" applyProtection="1">
      <alignment horizontal="center" vertical="center"/>
      <protection/>
    </xf>
    <xf numFmtId="174" fontId="3" fillId="33" borderId="12" xfId="0" applyNumberFormat="1" applyFont="1" applyFill="1" applyBorder="1" applyAlignment="1" applyProtection="1">
      <alignment horizontal="center" vertical="center"/>
      <protection/>
    </xf>
    <xf numFmtId="17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174" fontId="3" fillId="0" borderId="0" xfId="0" applyNumberFormat="1" applyFont="1" applyFill="1" applyAlignment="1" applyProtection="1">
      <alignment horizontal="center"/>
      <protection/>
    </xf>
    <xf numFmtId="0" fontId="4" fillId="0" borderId="26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33" borderId="33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top" wrapText="1"/>
    </xf>
    <xf numFmtId="0" fontId="8" fillId="0" borderId="33" xfId="0" applyFont="1" applyBorder="1" applyAlignment="1" applyProtection="1">
      <alignment/>
      <protection locked="0"/>
    </xf>
    <xf numFmtId="0" fontId="12" fillId="34" borderId="0" xfId="0" applyFont="1" applyFill="1" applyAlignment="1">
      <alignment horizontal="left" vertical="top" wrapText="1"/>
    </xf>
    <xf numFmtId="0" fontId="8" fillId="33" borderId="33" xfId="0" applyFont="1" applyFill="1" applyBorder="1" applyAlignment="1" applyProtection="1">
      <alignment horizontal="left" vertical="center" wrapText="1"/>
      <protection/>
    </xf>
    <xf numFmtId="49" fontId="8" fillId="33" borderId="33" xfId="0" applyNumberFormat="1" applyFont="1" applyFill="1" applyBorder="1" applyAlignment="1" applyProtection="1">
      <alignment horizontal="left" vertical="center"/>
      <protection/>
    </xf>
    <xf numFmtId="0" fontId="8" fillId="33" borderId="33" xfId="0" applyFont="1" applyFill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74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 locked="0"/>
    </xf>
    <xf numFmtId="174" fontId="3" fillId="33" borderId="33" xfId="0" applyNumberFormat="1" applyFont="1" applyFill="1" applyBorder="1" applyAlignment="1" applyProtection="1">
      <alignment horizontal="center" vertical="center"/>
      <protection/>
    </xf>
    <xf numFmtId="174" fontId="5" fillId="0" borderId="37" xfId="0" applyNumberFormat="1" applyFont="1" applyFill="1" applyBorder="1" applyAlignment="1" applyProtection="1">
      <alignment horizontal="center" vertical="center"/>
      <protection/>
    </xf>
    <xf numFmtId="174" fontId="3" fillId="33" borderId="38" xfId="0" applyNumberFormat="1" applyFont="1" applyFill="1" applyBorder="1" applyAlignment="1" applyProtection="1">
      <alignment horizontal="center" vertical="center"/>
      <protection/>
    </xf>
    <xf numFmtId="174" fontId="3" fillId="33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 locked="0"/>
    </xf>
    <xf numFmtId="174" fontId="3" fillId="33" borderId="40" xfId="0" applyNumberFormat="1" applyFont="1" applyFill="1" applyBorder="1" applyAlignment="1" applyProtection="1">
      <alignment horizontal="center" vertical="center"/>
      <protection/>
    </xf>
    <xf numFmtId="174" fontId="5" fillId="0" borderId="41" xfId="0" applyNumberFormat="1" applyFont="1" applyFill="1" applyBorder="1" applyAlignment="1" applyProtection="1">
      <alignment horizontal="center" vertical="center"/>
      <protection/>
    </xf>
    <xf numFmtId="174" fontId="3" fillId="33" borderId="42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8" fillId="33" borderId="47" xfId="0" applyFont="1" applyFill="1" applyBorder="1" applyAlignment="1" applyProtection="1">
      <alignment horizontal="left" vertical="center"/>
      <protection/>
    </xf>
    <xf numFmtId="0" fontId="8" fillId="33" borderId="48" xfId="0" applyFont="1" applyFill="1" applyBorder="1" applyAlignment="1" applyProtection="1">
      <alignment horizontal="left" vertical="center" wrapText="1"/>
      <protection/>
    </xf>
    <xf numFmtId="0" fontId="8" fillId="33" borderId="48" xfId="0" applyFont="1" applyFill="1" applyBorder="1" applyAlignment="1" applyProtection="1">
      <alignment horizontal="left" vertical="top" wrapText="1"/>
      <protection/>
    </xf>
    <xf numFmtId="0" fontId="8" fillId="33" borderId="49" xfId="0" applyFont="1" applyFill="1" applyBorder="1" applyAlignment="1" applyProtection="1">
      <alignment horizontal="left" vertical="top" wrapText="1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11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top" wrapText="1"/>
      <protection/>
    </xf>
    <xf numFmtId="0" fontId="0" fillId="0" borderId="33" xfId="0" applyFont="1" applyBorder="1" applyAlignment="1" applyProtection="1">
      <alignment wrapText="1"/>
      <protection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49" xfId="0" applyFont="1" applyFill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174" fontId="3" fillId="33" borderId="59" xfId="0" applyNumberFormat="1" applyFont="1" applyFill="1" applyBorder="1" applyAlignment="1" applyProtection="1">
      <alignment horizontal="center"/>
      <protection/>
    </xf>
    <xf numFmtId="174" fontId="3" fillId="33" borderId="60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/>
      <protection locked="0"/>
    </xf>
    <xf numFmtId="49" fontId="3" fillId="0" borderId="62" xfId="0" applyNumberFormat="1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63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3" fillId="33" borderId="65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67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0" fillId="0" borderId="49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67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0" fillId="0" borderId="54" xfId="0" applyFont="1" applyBorder="1" applyAlignment="1" applyProtection="1">
      <alignment horizontal="center" vertical="top" wrapText="1"/>
      <protection/>
    </xf>
    <xf numFmtId="0" fontId="0" fillId="0" borderId="48" xfId="0" applyFont="1" applyBorder="1" applyAlignment="1" applyProtection="1">
      <alignment horizontal="center" vertical="top" wrapText="1"/>
      <protection/>
    </xf>
    <xf numFmtId="0" fontId="0" fillId="0" borderId="37" xfId="0" applyFont="1" applyBorder="1" applyAlignment="1" applyProtection="1">
      <alignment horizontal="center" vertical="top" wrapText="1"/>
      <protection/>
    </xf>
    <xf numFmtId="0" fontId="0" fillId="0" borderId="41" xfId="0" applyFont="1" applyBorder="1" applyAlignment="1" applyProtection="1">
      <alignment horizontal="center" vertical="top" wrapText="1"/>
      <protection/>
    </xf>
    <xf numFmtId="0" fontId="0" fillId="0" borderId="68" xfId="0" applyFont="1" applyBorder="1" applyAlignment="1" applyProtection="1">
      <alignment horizontal="center" vertical="top" wrapText="1"/>
      <protection/>
    </xf>
    <xf numFmtId="0" fontId="0" fillId="0" borderId="18" xfId="0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0" borderId="19" xfId="0" applyFont="1" applyFill="1" applyBorder="1" applyAlignment="1" applyProtection="1">
      <alignment horizontal="center" vertical="top" wrapText="1"/>
      <protection/>
    </xf>
    <xf numFmtId="0" fontId="0" fillId="0" borderId="49" xfId="0" applyFont="1" applyBorder="1" applyAlignment="1" applyProtection="1">
      <alignment horizontal="center" vertical="top" wrapText="1"/>
      <protection/>
    </xf>
    <xf numFmtId="0" fontId="0" fillId="0" borderId="67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0" fillId="0" borderId="54" xfId="0" applyFont="1" applyBorder="1" applyAlignment="1" applyProtection="1">
      <alignment horizontal="center" vertical="top" wrapText="1"/>
      <protection locked="0"/>
    </xf>
    <xf numFmtId="0" fontId="8" fillId="0" borderId="43" xfId="0" applyFont="1" applyBorder="1" applyAlignment="1" applyProtection="1">
      <alignment vertical="top" wrapText="1"/>
      <protection locked="0"/>
    </xf>
    <xf numFmtId="0" fontId="8" fillId="0" borderId="45" xfId="0" applyFont="1" applyBorder="1" applyAlignment="1" applyProtection="1">
      <alignment vertical="top" wrapText="1"/>
      <protection locked="0"/>
    </xf>
    <xf numFmtId="0" fontId="8" fillId="0" borderId="69" xfId="0" applyFont="1" applyBorder="1" applyAlignment="1" applyProtection="1">
      <alignment/>
      <protection locked="0"/>
    </xf>
    <xf numFmtId="0" fontId="8" fillId="0" borderId="70" xfId="0" applyFont="1" applyBorder="1" applyAlignment="1" applyProtection="1">
      <alignment/>
      <protection locked="0"/>
    </xf>
    <xf numFmtId="2" fontId="8" fillId="33" borderId="64" xfId="0" applyNumberFormat="1" applyFont="1" applyFill="1" applyBorder="1" applyAlignment="1" applyProtection="1">
      <alignment horizontal="left" vertical="center"/>
      <protection/>
    </xf>
    <xf numFmtId="2" fontId="8" fillId="33" borderId="47" xfId="0" applyNumberFormat="1" applyFont="1" applyFill="1" applyBorder="1" applyAlignment="1" applyProtection="1">
      <alignment horizontal="left" vertical="center"/>
      <protection/>
    </xf>
    <xf numFmtId="0" fontId="13" fillId="0" borderId="69" xfId="0" applyNumberFormat="1" applyFont="1" applyBorder="1" applyAlignment="1" applyProtection="1">
      <alignment horizontal="center" vertical="center"/>
      <protection/>
    </xf>
    <xf numFmtId="0" fontId="13" fillId="0" borderId="71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left" vertical="center"/>
      <protection/>
    </xf>
    <xf numFmtId="0" fontId="8" fillId="33" borderId="45" xfId="0" applyFont="1" applyFill="1" applyBorder="1" applyAlignment="1" applyProtection="1">
      <alignment horizontal="left" vertical="center"/>
      <protection/>
    </xf>
    <xf numFmtId="0" fontId="8" fillId="0" borderId="64" xfId="0" applyFont="1" applyFill="1" applyBorder="1" applyAlignment="1" applyProtection="1">
      <alignment horizontal="left" vertical="center"/>
      <protection locked="0"/>
    </xf>
    <xf numFmtId="0" fontId="8" fillId="0" borderId="47" xfId="0" applyFont="1" applyFill="1" applyBorder="1" applyAlignment="1" applyProtection="1">
      <alignment horizontal="left" vertical="center"/>
      <protection locked="0"/>
    </xf>
    <xf numFmtId="0" fontId="8" fillId="33" borderId="64" xfId="0" applyFont="1" applyFill="1" applyBorder="1" applyAlignment="1" applyProtection="1">
      <alignment horizontal="left" vertical="center" wrapText="1"/>
      <protection/>
    </xf>
    <xf numFmtId="0" fontId="8" fillId="33" borderId="4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Expected RSSI</a:t>
            </a:r>
          </a:p>
        </c:rich>
      </c:tx>
      <c:layout>
        <c:manualLayout>
          <c:xMode val="factor"/>
          <c:yMode val="factor"/>
          <c:x val="0.02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5825"/>
          <c:w val="0.9405"/>
          <c:h val="0.9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'Design Sheet'!$Q$16</c:f>
              <c:strCache>
                <c:ptCount val="1"/>
                <c:pt idx="0">
                  <c:v>RSSI First Road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'Design Sheet'!$P$19:$P$36</c:f>
              <c:numCache/>
            </c:numRef>
          </c:xVal>
          <c:yVal>
            <c:numRef>
              <c:f>'Design Sheet'!$S$19:$S$36</c:f>
              <c:numCache/>
            </c:numRef>
          </c:yVal>
          <c:smooth val="1"/>
        </c:ser>
        <c:ser>
          <c:idx val="1"/>
          <c:order val="1"/>
          <c:tx>
            <c:strRef>
              <c:f>'Design Sheet'!$U$16</c:f>
              <c:strCache>
                <c:ptCount val="1"/>
                <c:pt idx="0">
                  <c:v>RSSI Second Road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'Design Sheet'!$P$19:$P$36</c:f>
              <c:numCache/>
            </c:numRef>
          </c:xVal>
          <c:yVal>
            <c:numRef>
              <c:f>'Design Sheet'!$W$19:$W$36</c:f>
              <c:numCache/>
            </c:numRef>
          </c:yVal>
          <c:smooth val="1"/>
        </c:ser>
        <c:ser>
          <c:idx val="2"/>
          <c:order val="2"/>
          <c:tx>
            <c:v>Required RSSI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'Selection Lists'!$B$46:$B$47</c:f>
              <c:numCache>
                <c:ptCount val="2"/>
                <c:pt idx="0">
                  <c:v>1</c:v>
                </c:pt>
                <c:pt idx="1">
                  <c:v>25</c:v>
                </c:pt>
              </c:numCache>
            </c:numRef>
          </c:xVal>
          <c:yVal>
            <c:numRef>
              <c:f>'Selection Lists'!$A$46:$A$47</c:f>
              <c:numCache>
                <c:ptCount val="2"/>
                <c:pt idx="0">
                  <c:v>-64</c:v>
                </c:pt>
                <c:pt idx="1">
                  <c:v>-64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'Selection Lists'!$A$56:$C$56</c:f>
              <c:strCache>
                <c:ptCount val="1"/>
                <c:pt idx="0">
                  <c:v>Required Antenna Height Second Road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'Selection Lists'!$F$46:$F$47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'Selection Lists'!$E$46:$E$47</c:f>
              <c:numCache>
                <c:ptCount val="2"/>
                <c:pt idx="0">
                  <c:v>-95</c:v>
                </c:pt>
                <c:pt idx="1">
                  <c:v>-55</c:v>
                </c:pt>
              </c:numCache>
            </c:numRef>
          </c:yVal>
          <c:smooth val="1"/>
        </c:ser>
        <c:axId val="30008434"/>
        <c:axId val="1640451"/>
      </c:scatterChart>
      <c:valAx>
        <c:axId val="3000843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Antenna Height Site B (m)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40451"/>
        <c:crosses val="autoZero"/>
        <c:crossBetween val="midCat"/>
        <c:dispUnits/>
      </c:valAx>
      <c:valAx>
        <c:axId val="1640451"/>
        <c:scaling>
          <c:orientation val="minMax"/>
          <c:max val="-5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RSSI (dBm)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0008434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624"/>
          <c:w val="0.2915"/>
          <c:h val="0.30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Design RSL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'Design Sheet'!$Q$16</c:f>
              <c:strCache>
                <c:ptCount val="1"/>
                <c:pt idx="0">
                  <c:v>RSSI First Road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'Design Sheet'!$P$28:$P$32</c:f>
              <c:numCache/>
            </c:numRef>
          </c:xVal>
          <c:yVal>
            <c:numRef>
              <c:f>'Design Sheet'!$S$28:$S$32</c:f>
              <c:numCache/>
            </c:numRef>
          </c:yVal>
          <c:smooth val="1"/>
        </c:ser>
        <c:ser>
          <c:idx val="1"/>
          <c:order val="1"/>
          <c:tx>
            <c:strRef>
              <c:f>'Design Sheet'!$U$16</c:f>
              <c:strCache>
                <c:ptCount val="1"/>
                <c:pt idx="0">
                  <c:v>RSSI Second Road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'Design Sheet'!$P$28:$P$32</c:f>
              <c:numCache/>
            </c:numRef>
          </c:xVal>
          <c:yVal>
            <c:numRef>
              <c:f>'Design Sheet'!$W$28:$W$32</c:f>
              <c:numCache/>
            </c:numRef>
          </c:yVal>
          <c:smooth val="1"/>
        </c:ser>
        <c:ser>
          <c:idx val="2"/>
          <c:order val="2"/>
          <c:tx>
            <c:v>Required RSL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'Selection Lists'!#REF!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'Selection Lists'!#REF!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Pole Height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'Selection Lists'!#REF!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'Selection Lists'!#REF!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4764060"/>
        <c:axId val="65767677"/>
      </c:scatterChart>
      <c:valAx>
        <c:axId val="14764060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Pole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5767677"/>
        <c:crosses val="autoZero"/>
        <c:crossBetween val="midCat"/>
        <c:dispUnits/>
      </c:valAx>
      <c:valAx>
        <c:axId val="65767677"/>
        <c:scaling>
          <c:orientation val="minMax"/>
          <c:max val="-3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RSL (dBm)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4764060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36</xdr:row>
      <xdr:rowOff>66675</xdr:rowOff>
    </xdr:from>
    <xdr:to>
      <xdr:col>23</xdr:col>
      <xdr:colOff>0</xdr:colOff>
      <xdr:row>61</xdr:row>
      <xdr:rowOff>66675</xdr:rowOff>
    </xdr:to>
    <xdr:graphicFrame>
      <xdr:nvGraphicFramePr>
        <xdr:cNvPr id="1" name="Chart 19"/>
        <xdr:cNvGraphicFramePr/>
      </xdr:nvGraphicFramePr>
      <xdr:xfrm>
        <a:off x="10248900" y="5505450"/>
        <a:ext cx="55435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46</xdr:row>
      <xdr:rowOff>19050</xdr:rowOff>
    </xdr:to>
    <xdr:graphicFrame>
      <xdr:nvGraphicFramePr>
        <xdr:cNvPr id="2" name="Chart 101"/>
        <xdr:cNvGraphicFramePr/>
      </xdr:nvGraphicFramePr>
      <xdr:xfrm>
        <a:off x="15887700" y="3609975"/>
        <a:ext cx="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absolute">
    <xdr:from>
      <xdr:col>20</xdr:col>
      <xdr:colOff>161925</xdr:colOff>
      <xdr:row>0</xdr:row>
      <xdr:rowOff>28575</xdr:rowOff>
    </xdr:from>
    <xdr:to>
      <xdr:col>22</xdr:col>
      <xdr:colOff>609600</xdr:colOff>
      <xdr:row>4</xdr:row>
      <xdr:rowOff>38100</xdr:rowOff>
    </xdr:to>
    <xdr:pic>
      <xdr:nvPicPr>
        <xdr:cNvPr id="3" name="Picture 156" descr="WaterCorp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28575"/>
          <a:ext cx="1781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114300</xdr:rowOff>
    </xdr:from>
    <xdr:to>
      <xdr:col>1</xdr:col>
      <xdr:colOff>2781300</xdr:colOff>
      <xdr:row>2</xdr:row>
      <xdr:rowOff>114300</xdr:rowOff>
    </xdr:to>
    <xdr:pic>
      <xdr:nvPicPr>
        <xdr:cNvPr id="1" name="Picture 1" descr="WaterCor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14300"/>
          <a:ext cx="1781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2</xdr:col>
      <xdr:colOff>2305050</xdr:colOff>
      <xdr:row>2</xdr:row>
      <xdr:rowOff>38100</xdr:rowOff>
    </xdr:to>
    <xdr:pic>
      <xdr:nvPicPr>
        <xdr:cNvPr id="1" name="Picture 2" descr="WaterCor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38100"/>
          <a:ext cx="2276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AC78"/>
  <sheetViews>
    <sheetView tabSelected="1" zoomScale="75" zoomScaleNormal="75" zoomScalePageLayoutView="0" workbookViewId="0" topLeftCell="A13">
      <selection activeCell="D27" sqref="D27"/>
    </sheetView>
  </sheetViews>
  <sheetFormatPr defaultColWidth="9.140625" defaultRowHeight="12.75"/>
  <cols>
    <col min="1" max="1" width="1.421875" style="6" customWidth="1"/>
    <col min="2" max="2" width="3.140625" style="6" customWidth="1"/>
    <col min="3" max="3" width="25.7109375" style="30" customWidth="1"/>
    <col min="4" max="4" width="25.7109375" style="7" customWidth="1"/>
    <col min="5" max="5" width="2.140625" style="12" customWidth="1"/>
    <col min="6" max="6" width="15.7109375" style="30" customWidth="1"/>
    <col min="7" max="7" width="4.8515625" style="7" customWidth="1"/>
    <col min="8" max="8" width="3.00390625" style="7" customWidth="1"/>
    <col min="9" max="9" width="25.7109375" style="30" customWidth="1"/>
    <col min="10" max="10" width="25.7109375" style="7" customWidth="1"/>
    <col min="11" max="11" width="2.00390625" style="7" customWidth="1"/>
    <col min="12" max="12" width="15.7109375" style="32" bestFit="1" customWidth="1"/>
    <col min="13" max="14" width="1.421875" style="7" customWidth="1"/>
    <col min="15" max="15" width="10.421875" style="30" customWidth="1"/>
    <col min="16" max="16" width="10.7109375" style="7" customWidth="1"/>
    <col min="17" max="18" width="9.7109375" style="7" customWidth="1"/>
    <col min="19" max="19" width="9.7109375" style="30" customWidth="1"/>
    <col min="20" max="20" width="2.8515625" style="7" customWidth="1"/>
    <col min="21" max="22" width="10.00390625" style="7" customWidth="1"/>
    <col min="23" max="23" width="10.00390625" style="30" customWidth="1"/>
    <col min="24" max="24" width="1.421875" style="7" customWidth="1"/>
    <col min="25" max="25" width="9.140625" style="6" customWidth="1"/>
    <col min="26" max="16384" width="9.140625" style="7" customWidth="1"/>
  </cols>
  <sheetData>
    <row r="1" spans="1:25" ht="7.5" customHeight="1">
      <c r="A1" s="72"/>
      <c r="B1" s="73"/>
      <c r="C1" s="74"/>
      <c r="D1" s="73"/>
      <c r="E1" s="75"/>
      <c r="F1" s="74"/>
      <c r="G1" s="73"/>
      <c r="H1" s="73"/>
      <c r="I1" s="74"/>
      <c r="J1" s="73"/>
      <c r="K1" s="73"/>
      <c r="L1" s="76"/>
      <c r="M1" s="73"/>
      <c r="N1" s="73"/>
      <c r="O1" s="74"/>
      <c r="P1" s="73"/>
      <c r="Q1" s="73"/>
      <c r="R1" s="73"/>
      <c r="S1" s="74"/>
      <c r="T1" s="73"/>
      <c r="U1" s="73"/>
      <c r="V1" s="73"/>
      <c r="W1" s="74"/>
      <c r="X1" s="77"/>
      <c r="Y1" s="9"/>
    </row>
    <row r="2" spans="1:25" s="6" customFormat="1" ht="15">
      <c r="A2" s="78"/>
      <c r="B2" s="79"/>
      <c r="C2" s="174" t="s">
        <v>44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79"/>
      <c r="V2" s="79"/>
      <c r="W2" s="80"/>
      <c r="X2" s="81"/>
      <c r="Y2" s="9"/>
    </row>
    <row r="3" spans="1:25" s="6" customFormat="1" ht="7.5" customHeight="1">
      <c r="A3" s="78"/>
      <c r="B3" s="9"/>
      <c r="C3" s="9"/>
      <c r="D3" s="79"/>
      <c r="E3" s="79"/>
      <c r="F3" s="80"/>
      <c r="G3" s="79"/>
      <c r="H3" s="79"/>
      <c r="I3" s="80"/>
      <c r="J3" s="79"/>
      <c r="K3" s="79"/>
      <c r="L3" s="80"/>
      <c r="M3" s="79"/>
      <c r="N3" s="79"/>
      <c r="O3" s="80"/>
      <c r="P3" s="79"/>
      <c r="Q3" s="9"/>
      <c r="R3" s="79"/>
      <c r="S3" s="80"/>
      <c r="T3" s="79"/>
      <c r="U3" s="79"/>
      <c r="V3" s="79"/>
      <c r="W3" s="80"/>
      <c r="X3" s="81"/>
      <c r="Y3" s="9"/>
    </row>
    <row r="4" spans="1:25" ht="18.75">
      <c r="A4" s="78"/>
      <c r="B4" s="82"/>
      <c r="C4" s="173" t="str">
        <f>D12&amp;" to "&amp;J12</f>
        <v>First Road to Second Road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82"/>
      <c r="V4" s="82"/>
      <c r="W4" s="83"/>
      <c r="X4" s="81"/>
      <c r="Y4" s="9"/>
    </row>
    <row r="5" spans="1:25" ht="7.5" customHeight="1">
      <c r="A5" s="78"/>
      <c r="B5" s="9"/>
      <c r="C5" s="83"/>
      <c r="D5" s="82"/>
      <c r="E5" s="82"/>
      <c r="F5" s="83"/>
      <c r="G5" s="82"/>
      <c r="H5" s="82"/>
      <c r="I5" s="83"/>
      <c r="J5" s="82"/>
      <c r="K5" s="82"/>
      <c r="L5" s="83"/>
      <c r="M5" s="82"/>
      <c r="N5" s="82"/>
      <c r="O5" s="83"/>
      <c r="P5" s="82"/>
      <c r="Q5" s="82"/>
      <c r="R5" s="82"/>
      <c r="S5" s="83"/>
      <c r="T5" s="82"/>
      <c r="U5" s="82"/>
      <c r="V5" s="82"/>
      <c r="W5" s="83"/>
      <c r="X5" s="81"/>
      <c r="Y5" s="9"/>
    </row>
    <row r="6" spans="1:25" ht="12" customHeight="1" thickBot="1">
      <c r="A6" s="78"/>
      <c r="B6" s="8" t="s">
        <v>68</v>
      </c>
      <c r="C6" s="28"/>
      <c r="D6" s="9"/>
      <c r="E6" s="10"/>
      <c r="F6" s="28"/>
      <c r="G6" s="9"/>
      <c r="H6" s="9"/>
      <c r="I6" s="28"/>
      <c r="J6" s="9"/>
      <c r="K6" s="9"/>
      <c r="L6" s="31"/>
      <c r="M6" s="9"/>
      <c r="N6" s="8" t="s">
        <v>96</v>
      </c>
      <c r="O6" s="28"/>
      <c r="P6" s="13"/>
      <c r="Q6" s="9"/>
      <c r="R6" s="9"/>
      <c r="S6" s="28"/>
      <c r="T6" s="9"/>
      <c r="U6" s="211" t="s">
        <v>106</v>
      </c>
      <c r="V6" s="211"/>
      <c r="W6" s="211"/>
      <c r="X6" s="81"/>
      <c r="Y6" s="9"/>
    </row>
    <row r="7" spans="1:25" ht="12" customHeight="1" thickBot="1">
      <c r="A7" s="78"/>
      <c r="B7" s="9"/>
      <c r="C7" s="33" t="s">
        <v>61</v>
      </c>
      <c r="D7" s="15" t="s">
        <v>105</v>
      </c>
      <c r="E7" s="10"/>
      <c r="F7" s="28"/>
      <c r="G7" s="9"/>
      <c r="H7" s="9"/>
      <c r="I7" s="33" t="s">
        <v>62</v>
      </c>
      <c r="J7" s="15">
        <v>1</v>
      </c>
      <c r="K7" s="9"/>
      <c r="L7" s="31"/>
      <c r="M7" s="9"/>
      <c r="N7" s="9"/>
      <c r="O7" s="84" t="s">
        <v>97</v>
      </c>
      <c r="P7" s="84"/>
      <c r="Q7" s="178">
        <v>4.68</v>
      </c>
      <c r="R7" s="179"/>
      <c r="S7" s="28"/>
      <c r="T7" s="9"/>
      <c r="U7" s="211"/>
      <c r="V7" s="211"/>
      <c r="W7" s="211"/>
      <c r="X7" s="81"/>
      <c r="Y7" s="9"/>
    </row>
    <row r="8" spans="1:25" ht="12" customHeight="1">
      <c r="A8" s="78"/>
      <c r="B8" s="9"/>
      <c r="C8" s="34" t="s">
        <v>45</v>
      </c>
      <c r="D8" s="16" t="s">
        <v>54</v>
      </c>
      <c r="E8" s="10"/>
      <c r="F8" s="28"/>
      <c r="G8" s="9"/>
      <c r="H8" s="9"/>
      <c r="I8" s="34" t="s">
        <v>63</v>
      </c>
      <c r="J8" s="16" t="s">
        <v>49</v>
      </c>
      <c r="K8" s="9"/>
      <c r="L8" s="31"/>
      <c r="M8" s="9"/>
      <c r="N8" s="9"/>
      <c r="O8" s="28"/>
      <c r="P8" s="9"/>
      <c r="Q8" s="9"/>
      <c r="R8" s="9"/>
      <c r="S8" s="28"/>
      <c r="T8" s="9"/>
      <c r="U8" s="211"/>
      <c r="V8" s="211"/>
      <c r="W8" s="211"/>
      <c r="X8" s="81"/>
      <c r="Y8" s="9"/>
    </row>
    <row r="9" spans="1:25" ht="12" customHeight="1" thickBot="1">
      <c r="A9" s="78"/>
      <c r="B9" s="9"/>
      <c r="C9" s="35" t="s">
        <v>46</v>
      </c>
      <c r="D9" s="17"/>
      <c r="E9" s="10"/>
      <c r="F9" s="28"/>
      <c r="G9" s="9"/>
      <c r="H9" s="9"/>
      <c r="I9" s="35" t="s">
        <v>64</v>
      </c>
      <c r="J9" s="17" t="s">
        <v>50</v>
      </c>
      <c r="K9" s="9"/>
      <c r="L9" s="31"/>
      <c r="M9" s="9"/>
      <c r="N9" s="8" t="s">
        <v>79</v>
      </c>
      <c r="O9" s="28"/>
      <c r="P9" s="9"/>
      <c r="Q9" s="9"/>
      <c r="R9" s="9"/>
      <c r="S9" s="28"/>
      <c r="T9" s="71"/>
      <c r="U9" s="211"/>
      <c r="V9" s="211"/>
      <c r="W9" s="211"/>
      <c r="X9" s="81"/>
      <c r="Y9" s="9"/>
    </row>
    <row r="10" spans="1:25" ht="12" customHeight="1">
      <c r="A10" s="78"/>
      <c r="B10" s="9"/>
      <c r="C10" s="28"/>
      <c r="D10" s="9"/>
      <c r="E10" s="10"/>
      <c r="F10" s="28"/>
      <c r="G10" s="9"/>
      <c r="H10" s="9"/>
      <c r="I10" s="28"/>
      <c r="J10" s="13"/>
      <c r="K10" s="9"/>
      <c r="L10" s="31"/>
      <c r="M10" s="9"/>
      <c r="N10" s="8"/>
      <c r="O10" s="37" t="s">
        <v>81</v>
      </c>
      <c r="P10" s="37"/>
      <c r="Q10" s="180">
        <f>IF(Q7&lt;20,30,IF(AND(Q7&lt;40,Q7&gt;=20),35,IF(Q7&gt;=40,40,0)))</f>
        <v>30</v>
      </c>
      <c r="R10" s="181"/>
      <c r="S10" s="28"/>
      <c r="T10" s="71"/>
      <c r="U10" s="211"/>
      <c r="V10" s="211"/>
      <c r="W10" s="211"/>
      <c r="X10" s="81"/>
      <c r="Y10" s="9"/>
    </row>
    <row r="11" spans="1:25" ht="12" customHeight="1" thickBot="1">
      <c r="A11" s="78"/>
      <c r="B11" s="8" t="s">
        <v>69</v>
      </c>
      <c r="C11" s="28"/>
      <c r="D11" s="9"/>
      <c r="E11" s="10"/>
      <c r="F11" s="28"/>
      <c r="G11" s="8"/>
      <c r="H11" s="8" t="s">
        <v>71</v>
      </c>
      <c r="I11" s="28"/>
      <c r="J11" s="13"/>
      <c r="K11" s="9"/>
      <c r="L11" s="31"/>
      <c r="M11" s="9"/>
      <c r="N11" s="8"/>
      <c r="O11" s="39" t="s">
        <v>92</v>
      </c>
      <c r="P11" s="113"/>
      <c r="Q11" s="182" t="s">
        <v>91</v>
      </c>
      <c r="R11" s="183"/>
      <c r="S11" s="28"/>
      <c r="T11" s="71"/>
      <c r="U11" s="211"/>
      <c r="V11" s="211"/>
      <c r="W11" s="211"/>
      <c r="X11" s="81"/>
      <c r="Y11" s="9"/>
    </row>
    <row r="12" spans="1:25" ht="12" customHeight="1">
      <c r="A12" s="78"/>
      <c r="B12" s="9"/>
      <c r="C12" s="33" t="s">
        <v>70</v>
      </c>
      <c r="D12" s="15" t="s">
        <v>47</v>
      </c>
      <c r="E12" s="10"/>
      <c r="F12" s="28"/>
      <c r="G12" s="9"/>
      <c r="H12" s="9"/>
      <c r="I12" s="33" t="s">
        <v>70</v>
      </c>
      <c r="J12" s="15" t="s">
        <v>48</v>
      </c>
      <c r="K12" s="9"/>
      <c r="L12" s="31"/>
      <c r="M12" s="9"/>
      <c r="N12" s="9"/>
      <c r="O12" s="28"/>
      <c r="P12" s="9"/>
      <c r="Q12" s="9"/>
      <c r="R12" s="9"/>
      <c r="S12" s="85"/>
      <c r="T12" s="71"/>
      <c r="U12" s="211"/>
      <c r="V12" s="211"/>
      <c r="W12" s="211"/>
      <c r="X12" s="81"/>
      <c r="Y12" s="9"/>
    </row>
    <row r="13" spans="1:25" ht="12" customHeight="1">
      <c r="A13" s="78"/>
      <c r="B13" s="9"/>
      <c r="C13" s="34" t="s">
        <v>57</v>
      </c>
      <c r="D13" s="16" t="s">
        <v>98</v>
      </c>
      <c r="E13" s="10"/>
      <c r="F13" s="28"/>
      <c r="G13" s="9"/>
      <c r="H13" s="9"/>
      <c r="I13" s="34" t="s">
        <v>57</v>
      </c>
      <c r="J13" s="16" t="s">
        <v>100</v>
      </c>
      <c r="K13" s="9"/>
      <c r="L13" s="31"/>
      <c r="M13" s="9"/>
      <c r="N13" s="9"/>
      <c r="O13" s="28"/>
      <c r="P13" s="9"/>
      <c r="Q13" s="9"/>
      <c r="R13" s="9"/>
      <c r="S13" s="28"/>
      <c r="T13" s="71"/>
      <c r="U13" s="211"/>
      <c r="V13" s="211"/>
      <c r="W13" s="211"/>
      <c r="X13" s="81"/>
      <c r="Y13" s="9"/>
    </row>
    <row r="14" spans="1:25" ht="12" customHeight="1" thickBot="1">
      <c r="A14" s="78"/>
      <c r="B14" s="9"/>
      <c r="C14" s="34" t="s">
        <v>152</v>
      </c>
      <c r="D14" s="16" t="s">
        <v>99</v>
      </c>
      <c r="E14" s="10"/>
      <c r="F14" s="28"/>
      <c r="G14" s="9"/>
      <c r="H14" s="9"/>
      <c r="I14" s="34" t="s">
        <v>152</v>
      </c>
      <c r="J14" s="16" t="s">
        <v>101</v>
      </c>
      <c r="K14" s="9"/>
      <c r="L14" s="31"/>
      <c r="M14" s="9"/>
      <c r="N14" s="9"/>
      <c r="O14" s="86"/>
      <c r="P14" s="87"/>
      <c r="Q14" s="87"/>
      <c r="R14" s="87"/>
      <c r="S14" s="86"/>
      <c r="T14" s="87"/>
      <c r="U14" s="87"/>
      <c r="V14" s="87"/>
      <c r="W14" s="86"/>
      <c r="X14" s="81"/>
      <c r="Y14" s="9"/>
    </row>
    <row r="15" spans="1:29" ht="12" customHeight="1">
      <c r="A15" s="78"/>
      <c r="B15" s="9"/>
      <c r="C15" s="34" t="s">
        <v>56</v>
      </c>
      <c r="D15" s="16"/>
      <c r="E15" s="10"/>
      <c r="F15" s="28"/>
      <c r="G15" s="9"/>
      <c r="H15" s="9"/>
      <c r="I15" s="34" t="s">
        <v>56</v>
      </c>
      <c r="J15" s="16"/>
      <c r="K15" s="9"/>
      <c r="L15" s="31"/>
      <c r="M15" s="9"/>
      <c r="N15" s="9"/>
      <c r="O15" s="194" t="s">
        <v>89</v>
      </c>
      <c r="P15" s="195"/>
      <c r="Q15" s="195"/>
      <c r="R15" s="195"/>
      <c r="S15" s="195"/>
      <c r="T15" s="195"/>
      <c r="U15" s="195"/>
      <c r="V15" s="195"/>
      <c r="W15" s="196"/>
      <c r="X15" s="81"/>
      <c r="Y15" s="9"/>
      <c r="AB15" s="18"/>
      <c r="AC15" s="18"/>
    </row>
    <row r="16" spans="1:25" ht="12" customHeight="1">
      <c r="A16" s="78"/>
      <c r="B16" s="9"/>
      <c r="C16" s="34" t="s">
        <v>55</v>
      </c>
      <c r="D16" s="16"/>
      <c r="E16" s="10"/>
      <c r="F16" s="28"/>
      <c r="G16" s="9"/>
      <c r="H16" s="9"/>
      <c r="I16" s="34" t="s">
        <v>55</v>
      </c>
      <c r="J16" s="16"/>
      <c r="K16" s="9"/>
      <c r="L16" s="31"/>
      <c r="M16" s="9"/>
      <c r="N16" s="9"/>
      <c r="O16" s="205" t="s">
        <v>166</v>
      </c>
      <c r="P16" s="208" t="s">
        <v>167</v>
      </c>
      <c r="Q16" s="197" t="str">
        <f>"RSSI "&amp;D12&amp;""</f>
        <v>RSSI First Road</v>
      </c>
      <c r="R16" s="198"/>
      <c r="S16" s="199"/>
      <c r="T16" s="216"/>
      <c r="U16" s="197" t="str">
        <f>"RSSI "&amp;J12&amp;""</f>
        <v>RSSI Second Road</v>
      </c>
      <c r="V16" s="198"/>
      <c r="W16" s="200"/>
      <c r="X16" s="81"/>
      <c r="Y16" s="9"/>
    </row>
    <row r="17" spans="1:25" ht="12" customHeight="1">
      <c r="A17" s="78"/>
      <c r="B17" s="9"/>
      <c r="C17" s="34" t="s">
        <v>112</v>
      </c>
      <c r="D17" s="16"/>
      <c r="E17" s="10"/>
      <c r="F17" s="28"/>
      <c r="G17" s="9"/>
      <c r="H17" s="9"/>
      <c r="I17" s="34" t="s">
        <v>112</v>
      </c>
      <c r="J17" s="16"/>
      <c r="K17" s="9"/>
      <c r="L17" s="31"/>
      <c r="M17" s="9"/>
      <c r="N17" s="9"/>
      <c r="O17" s="206"/>
      <c r="P17" s="209"/>
      <c r="Q17" s="201" t="s">
        <v>0</v>
      </c>
      <c r="R17" s="201" t="s">
        <v>82</v>
      </c>
      <c r="S17" s="201" t="s">
        <v>90</v>
      </c>
      <c r="T17" s="217"/>
      <c r="U17" s="201" t="s">
        <v>0</v>
      </c>
      <c r="V17" s="201" t="s">
        <v>82</v>
      </c>
      <c r="W17" s="215" t="s">
        <v>90</v>
      </c>
      <c r="X17" s="81"/>
      <c r="Y17" s="9"/>
    </row>
    <row r="18" spans="1:25" ht="12" customHeight="1">
      <c r="A18" s="78"/>
      <c r="B18" s="9"/>
      <c r="C18" s="34" t="s">
        <v>113</v>
      </c>
      <c r="D18" s="16"/>
      <c r="E18" s="10"/>
      <c r="F18" s="28"/>
      <c r="G18" s="9"/>
      <c r="H18" s="9"/>
      <c r="I18" s="34" t="s">
        <v>113</v>
      </c>
      <c r="J18" s="16"/>
      <c r="K18" s="9"/>
      <c r="L18" s="31"/>
      <c r="M18" s="9"/>
      <c r="N18" s="9"/>
      <c r="O18" s="207"/>
      <c r="P18" s="210"/>
      <c r="Q18" s="201"/>
      <c r="R18" s="201"/>
      <c r="S18" s="201"/>
      <c r="T18" s="217"/>
      <c r="U18" s="201"/>
      <c r="V18" s="201"/>
      <c r="W18" s="215"/>
      <c r="X18" s="81"/>
      <c r="Y18" s="9"/>
    </row>
    <row r="19" spans="1:25" ht="12" customHeight="1" thickBot="1">
      <c r="A19" s="78"/>
      <c r="B19" s="9"/>
      <c r="C19" s="35" t="s">
        <v>60</v>
      </c>
      <c r="D19" s="17" t="s">
        <v>102</v>
      </c>
      <c r="E19" s="10"/>
      <c r="F19" s="28"/>
      <c r="G19" s="9"/>
      <c r="H19" s="9"/>
      <c r="I19" s="35" t="s">
        <v>59</v>
      </c>
      <c r="J19" s="17" t="s">
        <v>103</v>
      </c>
      <c r="K19" s="9"/>
      <c r="L19" s="31"/>
      <c r="M19" s="9"/>
      <c r="N19" s="9"/>
      <c r="O19" s="88">
        <f aca="true" t="shared" si="0" ref="O19:O25">IF(ISBLANK(Q19),"",$D$56)</f>
      </c>
      <c r="P19" s="89"/>
      <c r="Q19" s="89"/>
      <c r="R19" s="90">
        <f>IF(OR(ISBLANK(Q19),ISBLANK(P19)),"",($F$53-(P19+$J$42)*VLOOKUP($J$41,'Selection Lists'!$A$3:$C$30,IF($D$40&lt;600,2,3),FALSE)))</f>
      </c>
      <c r="S19" s="90">
        <f aca="true" t="shared" si="1" ref="S19:S25">IF(OR(ISBLANK(Q19),ISBLANK(P19)),"",Q19+R19)</f>
      </c>
      <c r="T19" s="91"/>
      <c r="U19" s="89"/>
      <c r="V19" s="90">
        <f>IF(OR(ISBLANK(U19),ISBLANK(P19)),"",($L$53-(P19+$J$42)*VLOOKUP($J$41,'Selection Lists'!$A$3:$C$30,IF($D$40&lt;600,2,3),FALSE)))</f>
      </c>
      <c r="W19" s="92">
        <f aca="true" t="shared" si="2" ref="W19:W25">IF(OR(ISBLANK(U19),ISBLANK(P19)),"",U19+V19)</f>
      </c>
      <c r="X19" s="81"/>
      <c r="Y19" s="9"/>
    </row>
    <row r="20" spans="1:25" ht="12" customHeight="1">
      <c r="A20" s="78"/>
      <c r="B20" s="9"/>
      <c r="C20" s="28"/>
      <c r="D20" s="9"/>
      <c r="E20" s="10"/>
      <c r="F20" s="28"/>
      <c r="G20" s="9"/>
      <c r="H20" s="9"/>
      <c r="I20" s="28"/>
      <c r="J20" s="13"/>
      <c r="K20" s="9"/>
      <c r="L20" s="31"/>
      <c r="M20" s="9"/>
      <c r="N20" s="9"/>
      <c r="O20" s="88">
        <f t="shared" si="0"/>
      </c>
      <c r="P20" s="89"/>
      <c r="Q20" s="89"/>
      <c r="R20" s="90">
        <f>IF(OR(ISBLANK(Q20),ISBLANK(P20)),"",($F$53-(P20+$J$42)*VLOOKUP($J$41,'Selection Lists'!$A$3:$C$30,IF($D$40&lt;600,2,3),FALSE)))</f>
      </c>
      <c r="S20" s="90">
        <f t="shared" si="1"/>
      </c>
      <c r="T20" s="91"/>
      <c r="U20" s="89"/>
      <c r="V20" s="90">
        <f>IF(OR(ISBLANK(U20),ISBLANK(P20)),"",($L$53-(P20+$J$42)*VLOOKUP($J$41,'Selection Lists'!$A$3:$C$30,IF($D$40&lt;600,2,3),FALSE)))</f>
      </c>
      <c r="W20" s="92">
        <f t="shared" si="2"/>
      </c>
      <c r="X20" s="81"/>
      <c r="Y20" s="9"/>
    </row>
    <row r="21" spans="1:25" ht="12" customHeight="1">
      <c r="A21" s="78"/>
      <c r="B21" s="9"/>
      <c r="C21" s="28"/>
      <c r="D21" s="9"/>
      <c r="E21" s="10"/>
      <c r="F21" s="28"/>
      <c r="G21" s="9"/>
      <c r="H21" s="9"/>
      <c r="I21" s="28"/>
      <c r="J21" s="13"/>
      <c r="K21" s="9"/>
      <c r="L21" s="31"/>
      <c r="M21" s="9"/>
      <c r="N21" s="9"/>
      <c r="O21" s="88">
        <f t="shared" si="0"/>
      </c>
      <c r="P21" s="89"/>
      <c r="Q21" s="89"/>
      <c r="R21" s="90">
        <f>IF(OR(ISBLANK(Q21),ISBLANK(P21)),"",($F$53-(P21+$J$42)*VLOOKUP($J$41,'Selection Lists'!$A$3:$C$30,IF($D$40&lt;600,2,3),FALSE)))</f>
      </c>
      <c r="S21" s="90">
        <f t="shared" si="1"/>
      </c>
      <c r="T21" s="91"/>
      <c r="U21" s="89"/>
      <c r="V21" s="90">
        <f>IF(OR(ISBLANK(U21),ISBLANK(P21)),"",($L$53-(P21+$J$42)*VLOOKUP($J$41,'Selection Lists'!$A$3:$C$30,IF($D$40&lt;600,2,3),FALSE)))</f>
      </c>
      <c r="W21" s="92">
        <f t="shared" si="2"/>
      </c>
      <c r="X21" s="81"/>
      <c r="Y21" s="9"/>
    </row>
    <row r="22" spans="1:25" ht="12" customHeight="1" thickBot="1">
      <c r="A22" s="78"/>
      <c r="B22" s="8" t="str">
        <f>"Propagation Test Details:  "&amp;D12</f>
        <v>Propagation Test Details:  First Road</v>
      </c>
      <c r="C22" s="28"/>
      <c r="D22" s="8"/>
      <c r="E22" s="9"/>
      <c r="F22" s="28"/>
      <c r="G22" s="9"/>
      <c r="H22" s="8" t="str">
        <f>"Propagation Test Details:  "&amp;J12</f>
        <v>Propagation Test Details:  Second Road</v>
      </c>
      <c r="I22" s="28"/>
      <c r="J22" s="14"/>
      <c r="K22" s="9"/>
      <c r="L22" s="28"/>
      <c r="M22" s="9"/>
      <c r="N22" s="9"/>
      <c r="O22" s="88">
        <f t="shared" si="0"/>
      </c>
      <c r="P22" s="89"/>
      <c r="Q22" s="89"/>
      <c r="R22" s="90">
        <f>IF(OR(ISBLANK(Q22),ISBLANK(P22)),"",($F$53-(P22+$J$42)*VLOOKUP($J$41,'Selection Lists'!$A$3:$C$30,IF($D$40&lt;600,2,3),FALSE)))</f>
      </c>
      <c r="S22" s="90">
        <f t="shared" si="1"/>
      </c>
      <c r="T22" s="91"/>
      <c r="U22" s="89"/>
      <c r="V22" s="90">
        <f>IF(OR(ISBLANK(U22),ISBLANK(P22)),"",($L$53-(P22+$J$42)*VLOOKUP($J$41,'Selection Lists'!$A$3:$C$30,IF($D$40&lt;600,2,3),FALSE)))</f>
      </c>
      <c r="W22" s="92">
        <f t="shared" si="2"/>
      </c>
      <c r="X22" s="81"/>
      <c r="Y22" s="9"/>
    </row>
    <row r="23" spans="1:28" ht="12" customHeight="1">
      <c r="A23" s="78"/>
      <c r="B23" s="9"/>
      <c r="C23" s="33" t="s">
        <v>34</v>
      </c>
      <c r="D23" s="19">
        <v>461.325</v>
      </c>
      <c r="E23" s="9"/>
      <c r="F23" s="175" t="s">
        <v>67</v>
      </c>
      <c r="G23" s="9"/>
      <c r="H23" s="9"/>
      <c r="I23" s="33" t="s">
        <v>34</v>
      </c>
      <c r="J23" s="19">
        <v>451.825</v>
      </c>
      <c r="K23" s="9"/>
      <c r="L23" s="175" t="s">
        <v>67</v>
      </c>
      <c r="M23" s="9"/>
      <c r="N23" s="9"/>
      <c r="O23" s="88">
        <f t="shared" si="0"/>
      </c>
      <c r="P23" s="89"/>
      <c r="Q23" s="89"/>
      <c r="R23" s="90">
        <f>IF(OR(ISBLANK(Q23),ISBLANK(P23)),"",($F$53-(P23+$J$42)*VLOOKUP($J$41,'Selection Lists'!$A$3:$C$30,IF($D$40&lt;600,2,3),FALSE)))</f>
      </c>
      <c r="S23" s="90">
        <f t="shared" si="1"/>
      </c>
      <c r="T23" s="91"/>
      <c r="U23" s="89"/>
      <c r="V23" s="90">
        <f>IF(OR(ISBLANK(U23),ISBLANK(P23)),"",($L$53-(P23+$J$42)*VLOOKUP($J$41,'Selection Lists'!$A$3:$C$30,IF($D$40&lt;600,2,3),FALSE)))</f>
      </c>
      <c r="W23" s="92">
        <f t="shared" si="2"/>
      </c>
      <c r="X23" s="81"/>
      <c r="Y23" s="9"/>
      <c r="AB23" s="7" t="s">
        <v>127</v>
      </c>
    </row>
    <row r="24" spans="1:28" ht="12" customHeight="1">
      <c r="A24" s="78"/>
      <c r="B24" s="9"/>
      <c r="C24" s="34" t="s">
        <v>8</v>
      </c>
      <c r="D24" s="20" t="s">
        <v>204</v>
      </c>
      <c r="E24" s="9"/>
      <c r="F24" s="176"/>
      <c r="G24" s="9"/>
      <c r="H24" s="9"/>
      <c r="I24" s="34" t="s">
        <v>8</v>
      </c>
      <c r="J24" s="20" t="s">
        <v>204</v>
      </c>
      <c r="K24" s="9"/>
      <c r="L24" s="176"/>
      <c r="M24" s="9"/>
      <c r="N24" s="9"/>
      <c r="O24" s="88">
        <f t="shared" si="0"/>
      </c>
      <c r="P24" s="89"/>
      <c r="Q24" s="89"/>
      <c r="R24" s="90">
        <f>IF(OR(ISBLANK(Q24),ISBLANK(P24)),"",($F$53-(P24+$J$42)*VLOOKUP($J$41,'Selection Lists'!$A$3:$C$30,IF($D$40&lt;600,2,3),FALSE)))</f>
      </c>
      <c r="S24" s="90">
        <f t="shared" si="1"/>
      </c>
      <c r="T24" s="91"/>
      <c r="U24" s="89"/>
      <c r="V24" s="90">
        <f>IF(OR(ISBLANK(U24),ISBLANK(P24)),"",($L$53-(P24+$J$42)*VLOOKUP($J$41,'Selection Lists'!$A$3:$C$30,IF($D$40&lt;600,2,3),FALSE)))</f>
      </c>
      <c r="W24" s="92">
        <f t="shared" si="2"/>
      </c>
      <c r="X24" s="81"/>
      <c r="Y24" s="9"/>
      <c r="AB24" s="7" t="s">
        <v>127</v>
      </c>
    </row>
    <row r="25" spans="1:28" ht="12" customHeight="1" thickBot="1">
      <c r="A25" s="78"/>
      <c r="B25" s="9"/>
      <c r="C25" s="34" t="s">
        <v>11</v>
      </c>
      <c r="D25" s="26" t="s">
        <v>35</v>
      </c>
      <c r="E25" s="9"/>
      <c r="F25" s="177"/>
      <c r="G25" s="9"/>
      <c r="H25" s="9"/>
      <c r="I25" s="34" t="s">
        <v>11</v>
      </c>
      <c r="J25" s="26" t="s">
        <v>35</v>
      </c>
      <c r="K25" s="9"/>
      <c r="L25" s="177"/>
      <c r="M25" s="9"/>
      <c r="N25" s="9"/>
      <c r="O25" s="88">
        <f t="shared" si="0"/>
      </c>
      <c r="P25" s="89"/>
      <c r="Q25" s="89"/>
      <c r="R25" s="90">
        <f>IF(OR(ISBLANK(Q25),ISBLANK(P25)),"",($F$53-(P25+$J$42)*VLOOKUP($J$41,'Selection Lists'!$A$3:$C$30,IF($D$40&lt;600,2,3),FALSE)))</f>
      </c>
      <c r="S25" s="90">
        <f t="shared" si="1"/>
      </c>
      <c r="T25" s="91"/>
      <c r="U25" s="89"/>
      <c r="V25" s="90">
        <f>IF(OR(ISBLANK(U25),ISBLANK(P25)),"",($L$53-(P25+$J$42)*VLOOKUP($J$41,'Selection Lists'!$A$3:$C$30,IF($D$40&lt;600,2,3),FALSE)))</f>
      </c>
      <c r="W25" s="92">
        <f t="shared" si="2"/>
      </c>
      <c r="X25" s="81"/>
      <c r="Y25" s="9"/>
      <c r="AB25" s="57"/>
    </row>
    <row r="26" spans="1:28" ht="12" customHeight="1">
      <c r="A26" s="78"/>
      <c r="B26" s="9"/>
      <c r="C26" s="34" t="s">
        <v>65</v>
      </c>
      <c r="D26" s="20">
        <v>25</v>
      </c>
      <c r="E26" s="9"/>
      <c r="F26" s="41">
        <f>-D26*VLOOKUP(D25,'Selection Lists'!$A$3:$C$30,IF(D23&lt;600,2,3),FALSE)</f>
        <v>-2.5</v>
      </c>
      <c r="G26" s="9"/>
      <c r="H26" s="9"/>
      <c r="I26" s="34" t="s">
        <v>65</v>
      </c>
      <c r="J26" s="20">
        <v>30</v>
      </c>
      <c r="K26" s="9"/>
      <c r="L26" s="41">
        <f>-J26*VLOOKUP(J25,'Selection Lists'!$A$3:$C$30,IF(J23&lt;600,2,3),FALSE)</f>
        <v>-3</v>
      </c>
      <c r="M26" s="9"/>
      <c r="N26" s="9"/>
      <c r="O26" s="88">
        <f aca="true" t="shared" si="3" ref="O26:O36">IF(ISBLANK(Q26),"",$D$56)</f>
      </c>
      <c r="P26" s="89"/>
      <c r="Q26" s="89"/>
      <c r="R26" s="90">
        <f>IF(OR(ISBLANK(Q26),ISBLANK(P26)),"",($F$53-(P26+$J$42)*VLOOKUP($J$41,'Selection Lists'!$A$3:$C$30,IF($D$40&lt;600,2,3),FALSE)))</f>
      </c>
      <c r="S26" s="90">
        <f aca="true" t="shared" si="4" ref="S26:S36">IF(OR(ISBLANK(Q26),ISBLANK(P26)),"",Q26+R26)</f>
      </c>
      <c r="T26" s="91"/>
      <c r="U26" s="89"/>
      <c r="V26" s="90">
        <f>IF(OR(ISBLANK(U26),ISBLANK(P26)),"",($L$53-(P26+$J$42)*VLOOKUP($J$41,'Selection Lists'!$A$3:$C$30,IF($D$40&lt;600,2,3),FALSE)))</f>
      </c>
      <c r="W26" s="92">
        <f aca="true" t="shared" si="5" ref="W26:W36">IF(OR(ISBLANK(U26),ISBLANK(P26)),"",U26+V26)</f>
      </c>
      <c r="X26" s="81"/>
      <c r="Y26" s="9"/>
      <c r="AB26" s="57"/>
    </row>
    <row r="27" spans="1:28" ht="12" customHeight="1">
      <c r="A27" s="78"/>
      <c r="B27" s="9"/>
      <c r="C27" s="34" t="s">
        <v>104</v>
      </c>
      <c r="D27" s="20" t="s">
        <v>10</v>
      </c>
      <c r="E27" s="9"/>
      <c r="F27" s="41">
        <f>VLOOKUP(D27,'Selection Lists'!$E$3:$F$30,2,FALSE)</f>
        <v>2</v>
      </c>
      <c r="G27" s="9"/>
      <c r="H27" s="9"/>
      <c r="I27" s="34" t="s">
        <v>104</v>
      </c>
      <c r="J27" s="20" t="s">
        <v>6</v>
      </c>
      <c r="K27" s="9"/>
      <c r="L27" s="41">
        <f>VLOOKUP(J27,'Selection Lists'!$E$3:$F$30,2,FALSE)</f>
        <v>13</v>
      </c>
      <c r="M27" s="9"/>
      <c r="N27" s="9"/>
      <c r="O27" s="88">
        <f t="shared" si="3"/>
        <v>20</v>
      </c>
      <c r="P27" s="89">
        <v>24</v>
      </c>
      <c r="Q27" s="89">
        <v>-71</v>
      </c>
      <c r="R27" s="90">
        <f>IF(OR(ISBLANK(Q27),ISBLANK(P27)),"",($F$53-(P27+$J$42)*VLOOKUP($J$41,'Selection Lists'!$A$3:$C$30,IF($D$40&lt;600,2,3),FALSE)))</f>
        <v>7.3</v>
      </c>
      <c r="S27" s="90">
        <f t="shared" si="4"/>
        <v>-63.7</v>
      </c>
      <c r="T27" s="91"/>
      <c r="U27" s="89">
        <v>-72</v>
      </c>
      <c r="V27" s="90">
        <f>IF(OR(ISBLANK(U27),ISBLANK(P27)),"",($L$53-(P27+$J$42)*VLOOKUP($J$41,'Selection Lists'!$A$3:$C$30,IF($D$40&lt;600,2,3),FALSE)))</f>
        <v>8.3</v>
      </c>
      <c r="W27" s="92">
        <f t="shared" si="5"/>
        <v>-63.7</v>
      </c>
      <c r="X27" s="81"/>
      <c r="Y27" s="9"/>
      <c r="AB27" s="57"/>
    </row>
    <row r="28" spans="1:28" ht="12" customHeight="1">
      <c r="A28" s="78"/>
      <c r="B28" s="9"/>
      <c r="C28" s="34" t="s">
        <v>87</v>
      </c>
      <c r="D28" s="26" t="s">
        <v>14</v>
      </c>
      <c r="E28" s="9"/>
      <c r="F28" s="41">
        <f>IF(D28="Yes",-0.5,0)</f>
        <v>-0.5</v>
      </c>
      <c r="G28" s="9"/>
      <c r="H28" s="9"/>
      <c r="I28" s="34" t="s">
        <v>87</v>
      </c>
      <c r="J28" s="26" t="s">
        <v>14</v>
      </c>
      <c r="K28" s="9"/>
      <c r="L28" s="41">
        <f>IF(J28="Yes",-0.5,0)</f>
        <v>-0.5</v>
      </c>
      <c r="M28" s="9"/>
      <c r="N28" s="9"/>
      <c r="O28" s="88">
        <f t="shared" si="3"/>
        <v>20</v>
      </c>
      <c r="P28" s="89">
        <v>20</v>
      </c>
      <c r="Q28" s="89">
        <v>-72</v>
      </c>
      <c r="R28" s="90">
        <f>IF(OR(ISBLANK(Q28),ISBLANK(P28)),"",($F$53-(P28+$J$42)*VLOOKUP($J$41,'Selection Lists'!$A$3:$C$30,IF($D$40&lt;600,2,3),FALSE)))</f>
        <v>7.5</v>
      </c>
      <c r="S28" s="90">
        <f t="shared" si="4"/>
        <v>-64.5</v>
      </c>
      <c r="T28" s="91"/>
      <c r="U28" s="89">
        <v>-74</v>
      </c>
      <c r="V28" s="90">
        <f>IF(OR(ISBLANK(U28),ISBLANK(P28)),"",($L$53-(P28+$J$42)*VLOOKUP($J$41,'Selection Lists'!$A$3:$C$30,IF($D$40&lt;600,2,3),FALSE)))</f>
        <v>8.5</v>
      </c>
      <c r="W28" s="92">
        <f t="shared" si="5"/>
        <v>-65.5</v>
      </c>
      <c r="X28" s="81"/>
      <c r="Y28" s="9"/>
      <c r="AB28" s="57"/>
    </row>
    <row r="29" spans="1:28" ht="12" customHeight="1">
      <c r="A29" s="78"/>
      <c r="B29" s="9"/>
      <c r="C29" s="34" t="s">
        <v>85</v>
      </c>
      <c r="D29" s="26" t="s">
        <v>14</v>
      </c>
      <c r="E29" s="9"/>
      <c r="F29" s="41">
        <f>IF(D29="Yes",-1.6,0)</f>
        <v>-1.6</v>
      </c>
      <c r="G29" s="9"/>
      <c r="H29" s="9"/>
      <c r="I29" s="34" t="s">
        <v>85</v>
      </c>
      <c r="J29" s="26" t="s">
        <v>15</v>
      </c>
      <c r="K29" s="9"/>
      <c r="L29" s="41">
        <f>IF(J29="Yes",-1.6,0)</f>
        <v>0</v>
      </c>
      <c r="M29" s="9"/>
      <c r="N29" s="9"/>
      <c r="O29" s="88">
        <f t="shared" si="3"/>
        <v>20</v>
      </c>
      <c r="P29" s="89">
        <v>18</v>
      </c>
      <c r="Q29" s="89">
        <v>-75</v>
      </c>
      <c r="R29" s="90">
        <f>IF(OR(ISBLANK(Q29),ISBLANK(P29)),"",($F$53-(P29+$J$42)*VLOOKUP($J$41,'Selection Lists'!$A$3:$C$30,IF($D$40&lt;600,2,3),FALSE)))</f>
        <v>7.6</v>
      </c>
      <c r="S29" s="90">
        <f t="shared" si="4"/>
        <v>-67.4</v>
      </c>
      <c r="T29" s="91"/>
      <c r="U29" s="89">
        <v>-76</v>
      </c>
      <c r="V29" s="90">
        <f>IF(OR(ISBLANK(U29),ISBLANK(P29)),"",($L$53-(P29+$J$42)*VLOOKUP($J$41,'Selection Lists'!$A$3:$C$30,IF($D$40&lt;600,2,3),FALSE)))</f>
        <v>8.6</v>
      </c>
      <c r="W29" s="92">
        <f t="shared" si="5"/>
        <v>-67.4</v>
      </c>
      <c r="X29" s="81"/>
      <c r="Y29" s="9"/>
      <c r="AB29" s="57"/>
    </row>
    <row r="30" spans="1:28" ht="12" customHeight="1">
      <c r="A30" s="78"/>
      <c r="B30" s="9"/>
      <c r="C30" s="34" t="s">
        <v>66</v>
      </c>
      <c r="D30" s="20">
        <v>2</v>
      </c>
      <c r="E30" s="9"/>
      <c r="F30" s="41">
        <f>-D30*0.1</f>
        <v>-0.2</v>
      </c>
      <c r="G30" s="9"/>
      <c r="H30" s="9"/>
      <c r="I30" s="34" t="s">
        <v>66</v>
      </c>
      <c r="J30" s="20">
        <v>2</v>
      </c>
      <c r="K30" s="9"/>
      <c r="L30" s="41">
        <f>-J30*0.1</f>
        <v>-0.2</v>
      </c>
      <c r="M30" s="9"/>
      <c r="N30" s="9"/>
      <c r="O30" s="88">
        <f t="shared" si="3"/>
        <v>20</v>
      </c>
      <c r="P30" s="89">
        <v>15</v>
      </c>
      <c r="Q30" s="89">
        <v>-81</v>
      </c>
      <c r="R30" s="90">
        <f>IF(OR(ISBLANK(Q30),ISBLANK(P30)),"",($F$53-(P30+$J$42)*VLOOKUP($J$41,'Selection Lists'!$A$3:$C$30,IF($D$40&lt;600,2,3),FALSE)))</f>
        <v>7.75</v>
      </c>
      <c r="S30" s="90">
        <f t="shared" si="4"/>
        <v>-73.25</v>
      </c>
      <c r="T30" s="91"/>
      <c r="U30" s="89">
        <v>-79</v>
      </c>
      <c r="V30" s="90">
        <f>IF(OR(ISBLANK(U30),ISBLANK(P30)),"",($L$53-(P30+$J$42)*VLOOKUP($J$41,'Selection Lists'!$A$3:$C$30,IF($D$40&lt;600,2,3),FALSE)))</f>
        <v>8.75</v>
      </c>
      <c r="W30" s="92">
        <f t="shared" si="5"/>
        <v>-70.25</v>
      </c>
      <c r="X30" s="81"/>
      <c r="Y30" s="9"/>
      <c r="AB30" s="57"/>
    </row>
    <row r="31" spans="1:28" ht="12" customHeight="1">
      <c r="A31" s="78"/>
      <c r="B31" s="9"/>
      <c r="C31" s="34" t="s">
        <v>86</v>
      </c>
      <c r="D31" s="26" t="s">
        <v>15</v>
      </c>
      <c r="E31" s="9"/>
      <c r="F31" s="41">
        <f>IF(D31="Yes",-0.1,0)</f>
        <v>0</v>
      </c>
      <c r="G31" s="9"/>
      <c r="H31" s="9"/>
      <c r="I31" s="34" t="s">
        <v>86</v>
      </c>
      <c r="J31" s="26" t="s">
        <v>15</v>
      </c>
      <c r="K31" s="9"/>
      <c r="L31" s="41">
        <f>IF(J31="Yes",-0.1,0)</f>
        <v>0</v>
      </c>
      <c r="M31" s="9"/>
      <c r="N31" s="9"/>
      <c r="O31" s="88">
        <f t="shared" si="3"/>
        <v>20</v>
      </c>
      <c r="P31" s="89">
        <v>12</v>
      </c>
      <c r="Q31" s="89">
        <v>-84</v>
      </c>
      <c r="R31" s="90">
        <f>IF(OR(ISBLANK(Q31),ISBLANK(P31)),"",($F$53-(P31+$J$42)*VLOOKUP($J$41,'Selection Lists'!$A$3:$C$30,IF($D$40&lt;600,2,3),FALSE)))</f>
        <v>7.9</v>
      </c>
      <c r="S31" s="90">
        <f t="shared" si="4"/>
        <v>-76.1</v>
      </c>
      <c r="T31" s="91"/>
      <c r="U31" s="89">
        <v>-85</v>
      </c>
      <c r="V31" s="90">
        <f>IF(OR(ISBLANK(U31),ISBLANK(P31)),"",($L$53-(P31+$J$42)*VLOOKUP($J$41,'Selection Lists'!$A$3:$C$30,IF($D$40&lt;600,2,3),FALSE)))</f>
        <v>8.9</v>
      </c>
      <c r="W31" s="92">
        <f t="shared" si="5"/>
        <v>-76.1</v>
      </c>
      <c r="X31" s="81"/>
      <c r="Y31" s="9"/>
      <c r="AB31" s="57"/>
    </row>
    <row r="32" spans="1:28" ht="12" customHeight="1" thickBot="1">
      <c r="A32" s="78"/>
      <c r="B32" s="9"/>
      <c r="C32" s="35" t="s">
        <v>74</v>
      </c>
      <c r="D32" s="21">
        <v>32</v>
      </c>
      <c r="E32" s="9"/>
      <c r="F32" s="42">
        <f>D32</f>
        <v>32</v>
      </c>
      <c r="G32" s="9"/>
      <c r="H32" s="9"/>
      <c r="I32" s="35" t="s">
        <v>74</v>
      </c>
      <c r="J32" s="21">
        <v>32</v>
      </c>
      <c r="K32" s="9"/>
      <c r="L32" s="42">
        <f>J32</f>
        <v>32</v>
      </c>
      <c r="M32" s="9"/>
      <c r="N32" s="9"/>
      <c r="O32" s="88">
        <f t="shared" si="3"/>
        <v>20</v>
      </c>
      <c r="P32" s="89">
        <v>10</v>
      </c>
      <c r="Q32" s="89">
        <v>-86</v>
      </c>
      <c r="R32" s="90">
        <f>IF(OR(ISBLANK(Q32),ISBLANK(P32)),"",($F$53-(P32+$J$42)*VLOOKUP($J$41,'Selection Lists'!$A$3:$C$30,IF($D$40&lt;600,2,3),FALSE)))</f>
        <v>8</v>
      </c>
      <c r="S32" s="90">
        <f t="shared" si="4"/>
        <v>-78</v>
      </c>
      <c r="T32" s="91"/>
      <c r="U32" s="89">
        <v>-87</v>
      </c>
      <c r="V32" s="90">
        <f>IF(OR(ISBLANK(U32),ISBLANK(P32)),"",($L$53-(P32+$J$42)*VLOOKUP($J$41,'Selection Lists'!$A$3:$C$30,IF($D$40&lt;600,2,3),FALSE)))</f>
        <v>9</v>
      </c>
      <c r="W32" s="92">
        <f t="shared" si="5"/>
        <v>-78</v>
      </c>
      <c r="X32" s="81"/>
      <c r="Y32" s="9"/>
      <c r="AB32" s="57"/>
    </row>
    <row r="33" spans="1:28" ht="12" customHeight="1" thickBot="1">
      <c r="A33" s="78"/>
      <c r="B33" s="9"/>
      <c r="C33" s="28"/>
      <c r="D33" s="13"/>
      <c r="E33" s="10"/>
      <c r="F33" s="28"/>
      <c r="G33" s="9"/>
      <c r="H33" s="9"/>
      <c r="I33" s="28"/>
      <c r="J33" s="13"/>
      <c r="K33" s="10"/>
      <c r="L33" s="28"/>
      <c r="M33" s="9"/>
      <c r="N33" s="9"/>
      <c r="O33" s="88">
        <f t="shared" si="3"/>
        <v>20</v>
      </c>
      <c r="P33" s="89">
        <v>8</v>
      </c>
      <c r="Q33" s="89">
        <v>-90</v>
      </c>
      <c r="R33" s="90">
        <f>IF(OR(ISBLANK(Q33),ISBLANK(P33)),"",($F$53-(P33+$J$42)*VLOOKUP($J$41,'Selection Lists'!$A$3:$C$30,IF($D$40&lt;600,2,3),FALSE)))</f>
        <v>8.1</v>
      </c>
      <c r="S33" s="90">
        <f t="shared" si="4"/>
        <v>-81.9</v>
      </c>
      <c r="T33" s="91"/>
      <c r="U33" s="89">
        <v>-91</v>
      </c>
      <c r="V33" s="90">
        <f>IF(OR(ISBLANK(U33),ISBLANK(P33)),"",($L$53-(P33+$J$42)*VLOOKUP($J$41,'Selection Lists'!$A$3:$C$30,IF($D$40&lt;600,2,3),FALSE)))</f>
        <v>9.1</v>
      </c>
      <c r="W33" s="92">
        <f t="shared" si="5"/>
        <v>-81.9</v>
      </c>
      <c r="X33" s="81"/>
      <c r="Y33" s="9"/>
      <c r="AB33" s="57"/>
    </row>
    <row r="34" spans="1:25" ht="12" customHeight="1" thickBot="1">
      <c r="A34" s="78"/>
      <c r="B34" s="9"/>
      <c r="C34" s="36" t="s">
        <v>128</v>
      </c>
      <c r="D34" s="22" t="s">
        <v>88</v>
      </c>
      <c r="E34" s="9"/>
      <c r="F34" s="54">
        <v>0</v>
      </c>
      <c r="G34" s="9"/>
      <c r="H34" s="9"/>
      <c r="I34" s="36" t="s">
        <v>128</v>
      </c>
      <c r="J34" s="22" t="s">
        <v>88</v>
      </c>
      <c r="K34" s="9"/>
      <c r="L34" s="54">
        <v>0</v>
      </c>
      <c r="M34" s="9"/>
      <c r="N34" s="9"/>
      <c r="O34" s="88">
        <f t="shared" si="3"/>
        <v>20</v>
      </c>
      <c r="P34" s="89">
        <v>6</v>
      </c>
      <c r="Q34" s="89">
        <v>-92</v>
      </c>
      <c r="R34" s="90">
        <f>IF(OR(ISBLANK(Q34),ISBLANK(P34)),"",($F$53-(P34+$J$42)*VLOOKUP($J$41,'Selection Lists'!$A$3:$C$30,IF($D$40&lt;600,2,3),FALSE)))</f>
        <v>8.2</v>
      </c>
      <c r="S34" s="90">
        <f t="shared" si="4"/>
        <v>-83.8</v>
      </c>
      <c r="T34" s="91"/>
      <c r="U34" s="89">
        <v>-93</v>
      </c>
      <c r="V34" s="90">
        <f>IF(OR(ISBLANK(U34),ISBLANK(P34)),"",($L$53-(P34+$J$42)*VLOOKUP($J$41,'Selection Lists'!$A$3:$C$30,IF($D$40&lt;600,2,3),FALSE)))</f>
        <v>9.2</v>
      </c>
      <c r="W34" s="92">
        <f t="shared" si="5"/>
        <v>-83.8</v>
      </c>
      <c r="X34" s="81"/>
      <c r="Y34" s="9"/>
    </row>
    <row r="35" spans="1:25" ht="12" customHeight="1">
      <c r="A35" s="78"/>
      <c r="B35" s="9"/>
      <c r="C35" s="28"/>
      <c r="D35" s="9"/>
      <c r="E35" s="10"/>
      <c r="F35" s="28"/>
      <c r="G35" s="9"/>
      <c r="H35" s="9"/>
      <c r="I35" s="28"/>
      <c r="J35" s="13"/>
      <c r="K35" s="10"/>
      <c r="L35" s="28"/>
      <c r="M35" s="9"/>
      <c r="N35" s="9"/>
      <c r="O35" s="88">
        <f t="shared" si="3"/>
        <v>20</v>
      </c>
      <c r="P35" s="89">
        <v>3</v>
      </c>
      <c r="Q35" s="89">
        <v>-98</v>
      </c>
      <c r="R35" s="90">
        <f>IF(OR(ISBLANK(Q35),ISBLANK(P35)),"",($F$53-(P35+$J$42)*VLOOKUP($J$41,'Selection Lists'!$A$3:$C$30,IF($D$40&lt;600,2,3),FALSE)))</f>
        <v>8.35</v>
      </c>
      <c r="S35" s="90">
        <f t="shared" si="4"/>
        <v>-89.65</v>
      </c>
      <c r="T35" s="91"/>
      <c r="U35" s="89">
        <v>-99</v>
      </c>
      <c r="V35" s="90">
        <f>IF(OR(ISBLANK(U35),ISBLANK(P35)),"",($L$53-(P35+$J$42)*VLOOKUP($J$41,'Selection Lists'!$A$3:$C$30,IF($D$40&lt;600,2,3),FALSE)))</f>
        <v>9.35</v>
      </c>
      <c r="W35" s="92">
        <f t="shared" si="5"/>
        <v>-89.65</v>
      </c>
      <c r="X35" s="81"/>
      <c r="Y35" s="9"/>
    </row>
    <row r="36" spans="1:25" ht="12" customHeight="1" thickBot="1">
      <c r="A36" s="78"/>
      <c r="B36" s="8" t="str">
        <f>"Proposed System:  "&amp;D12</f>
        <v>Proposed System:  First Road</v>
      </c>
      <c r="C36" s="28"/>
      <c r="D36" s="8"/>
      <c r="E36" s="9"/>
      <c r="F36" s="28"/>
      <c r="G36" s="9"/>
      <c r="H36" s="8" t="str">
        <f>"Proposed System:  "&amp;J12</f>
        <v>Proposed System:  Second Road</v>
      </c>
      <c r="I36" s="28"/>
      <c r="J36" s="14"/>
      <c r="K36" s="10"/>
      <c r="L36" s="28"/>
      <c r="M36" s="9"/>
      <c r="N36" s="9"/>
      <c r="O36" s="93">
        <f t="shared" si="3"/>
        <v>20</v>
      </c>
      <c r="P36" s="94">
        <v>2</v>
      </c>
      <c r="Q36" s="94">
        <v>-103</v>
      </c>
      <c r="R36" s="95">
        <f>IF(OR(ISBLANK(Q36),ISBLANK(P36)),"",($F$53-(P36+$J$42)*VLOOKUP($J$41,'Selection Lists'!$A$3:$C$30,IF($D$40&lt;600,2,3),FALSE)))</f>
        <v>8.4</v>
      </c>
      <c r="S36" s="95">
        <f t="shared" si="4"/>
        <v>-94.6</v>
      </c>
      <c r="T36" s="96"/>
      <c r="U36" s="94">
        <v>-104</v>
      </c>
      <c r="V36" s="95">
        <f>IF(OR(ISBLANK(U36),ISBLANK(P36)),"",($L$53-(P36+$J$42)*VLOOKUP($J$41,'Selection Lists'!$A$3:$C$30,IF($D$40&lt;600,2,3),FALSE)))</f>
        <v>9.4</v>
      </c>
      <c r="W36" s="97">
        <f t="shared" si="5"/>
        <v>-94.6</v>
      </c>
      <c r="X36" s="81"/>
      <c r="Y36" s="9"/>
    </row>
    <row r="37" spans="1:25" ht="12" customHeight="1" thickBot="1">
      <c r="A37" s="78"/>
      <c r="B37" s="9"/>
      <c r="C37" s="36" t="s">
        <v>8</v>
      </c>
      <c r="D37" s="22" t="s">
        <v>204</v>
      </c>
      <c r="E37" s="10"/>
      <c r="F37" s="44" t="s">
        <v>178</v>
      </c>
      <c r="G37" s="9"/>
      <c r="H37" s="9"/>
      <c r="I37" s="36" t="s">
        <v>8</v>
      </c>
      <c r="J37" s="22" t="s">
        <v>204</v>
      </c>
      <c r="K37" s="10"/>
      <c r="L37" s="44" t="s">
        <v>178</v>
      </c>
      <c r="M37" s="9"/>
      <c r="N37" s="9"/>
      <c r="O37" s="28"/>
      <c r="P37" s="9"/>
      <c r="Q37" s="9"/>
      <c r="R37" s="9"/>
      <c r="S37" s="28"/>
      <c r="T37" s="9"/>
      <c r="U37" s="9"/>
      <c r="V37" s="9"/>
      <c r="W37" s="28"/>
      <c r="X37" s="81"/>
      <c r="Y37" s="9"/>
    </row>
    <row r="38" spans="1:28" ht="12" customHeight="1" thickBot="1">
      <c r="A38" s="78"/>
      <c r="B38" s="9"/>
      <c r="C38" s="28"/>
      <c r="D38" s="13"/>
      <c r="E38" s="10"/>
      <c r="F38" s="44">
        <f>VLOOKUP(D37,'Selection Lists'!J2:K33,2,FALSE)</f>
        <v>-94</v>
      </c>
      <c r="G38" s="9"/>
      <c r="H38" s="9"/>
      <c r="I38" s="28"/>
      <c r="J38" s="13"/>
      <c r="K38" s="10"/>
      <c r="L38" s="44">
        <f>VLOOKUP(J37,'Selection Lists'!J2:K33,2,FALSE)</f>
        <v>-94</v>
      </c>
      <c r="M38" s="9"/>
      <c r="N38" s="9"/>
      <c r="O38" s="28"/>
      <c r="P38" s="9"/>
      <c r="Q38" s="9"/>
      <c r="R38" s="9"/>
      <c r="S38" s="28"/>
      <c r="T38" s="9"/>
      <c r="U38" s="9"/>
      <c r="V38" s="9"/>
      <c r="W38" s="28"/>
      <c r="X38" s="81"/>
      <c r="Y38" s="9"/>
      <c r="AB38" s="6"/>
    </row>
    <row r="39" spans="1:25" ht="12" customHeight="1" thickBot="1">
      <c r="A39" s="78"/>
      <c r="B39" s="9"/>
      <c r="C39" s="28"/>
      <c r="D39" s="13"/>
      <c r="E39" s="9"/>
      <c r="F39" s="28"/>
      <c r="G39" s="9"/>
      <c r="H39" s="9"/>
      <c r="I39" s="28"/>
      <c r="J39" s="13"/>
      <c r="K39" s="9"/>
      <c r="L39" s="28"/>
      <c r="M39" s="9"/>
      <c r="N39" s="9"/>
      <c r="O39" s="28"/>
      <c r="P39" s="9"/>
      <c r="Q39" s="9"/>
      <c r="R39" s="9"/>
      <c r="S39" s="28"/>
      <c r="T39" s="9"/>
      <c r="U39" s="9"/>
      <c r="V39" s="9"/>
      <c r="W39" s="28"/>
      <c r="X39" s="81"/>
      <c r="Y39" s="9"/>
    </row>
    <row r="40" spans="1:25" ht="12" customHeight="1">
      <c r="A40" s="78"/>
      <c r="B40" s="9"/>
      <c r="C40" s="37" t="s">
        <v>34</v>
      </c>
      <c r="D40" s="23">
        <v>461</v>
      </c>
      <c r="E40" s="9"/>
      <c r="F40" s="175" t="s">
        <v>67</v>
      </c>
      <c r="G40" s="9"/>
      <c r="H40" s="9"/>
      <c r="I40" s="37" t="s">
        <v>34</v>
      </c>
      <c r="J40" s="23">
        <v>451</v>
      </c>
      <c r="K40" s="9"/>
      <c r="L40" s="175" t="s">
        <v>67</v>
      </c>
      <c r="M40" s="9"/>
      <c r="N40" s="9"/>
      <c r="O40" s="28"/>
      <c r="P40" s="9"/>
      <c r="Q40" s="9"/>
      <c r="R40" s="9"/>
      <c r="S40" s="28"/>
      <c r="T40" s="9"/>
      <c r="U40" s="9"/>
      <c r="V40" s="9"/>
      <c r="W40" s="28"/>
      <c r="X40" s="81"/>
      <c r="Y40" s="9"/>
    </row>
    <row r="41" spans="1:25" ht="12" customHeight="1">
      <c r="A41" s="78"/>
      <c r="B41" s="9"/>
      <c r="C41" s="38" t="s">
        <v>11</v>
      </c>
      <c r="D41" s="26" t="s">
        <v>36</v>
      </c>
      <c r="E41" s="9"/>
      <c r="F41" s="176"/>
      <c r="G41" s="9"/>
      <c r="H41" s="9"/>
      <c r="I41" s="38" t="s">
        <v>11</v>
      </c>
      <c r="J41" s="26" t="s">
        <v>36</v>
      </c>
      <c r="K41" s="9"/>
      <c r="L41" s="176"/>
      <c r="M41" s="9"/>
      <c r="N41" s="9"/>
      <c r="O41" s="28"/>
      <c r="P41" s="9"/>
      <c r="Q41" s="9"/>
      <c r="R41" s="9"/>
      <c r="S41" s="28"/>
      <c r="T41" s="9"/>
      <c r="U41" s="9"/>
      <c r="V41" s="9"/>
      <c r="W41" s="28"/>
      <c r="X41" s="81"/>
      <c r="Y41" s="9"/>
    </row>
    <row r="42" spans="1:25" ht="12" customHeight="1" thickBot="1">
      <c r="A42" s="78"/>
      <c r="B42" s="9"/>
      <c r="C42" s="38" t="s">
        <v>125</v>
      </c>
      <c r="D42" s="24">
        <v>10</v>
      </c>
      <c r="E42" s="9"/>
      <c r="F42" s="177"/>
      <c r="G42" s="9"/>
      <c r="H42" s="9"/>
      <c r="I42" s="38" t="s">
        <v>125</v>
      </c>
      <c r="J42" s="24">
        <v>10</v>
      </c>
      <c r="K42" s="9"/>
      <c r="L42" s="177"/>
      <c r="M42" s="9"/>
      <c r="N42" s="9"/>
      <c r="O42" s="28"/>
      <c r="P42" s="9"/>
      <c r="Q42" s="9"/>
      <c r="R42" s="9"/>
      <c r="S42" s="28"/>
      <c r="T42" s="9"/>
      <c r="U42" s="9"/>
      <c r="V42" s="9"/>
      <c r="W42" s="28"/>
      <c r="X42" s="81"/>
      <c r="Y42" s="9"/>
    </row>
    <row r="43" spans="1:25" ht="12" customHeight="1">
      <c r="A43" s="78"/>
      <c r="B43" s="9"/>
      <c r="C43" s="38" t="s">
        <v>124</v>
      </c>
      <c r="D43" s="40">
        <f>D56+D42</f>
        <v>30</v>
      </c>
      <c r="E43" s="9"/>
      <c r="F43" s="41">
        <f>-D43*VLOOKUP(D41,'Selection Lists'!$A$3:$C$30,IF(D40&lt;600,2,3),FALSE)</f>
        <v>-1.5</v>
      </c>
      <c r="G43" s="9"/>
      <c r="H43" s="9"/>
      <c r="I43" s="38" t="s">
        <v>124</v>
      </c>
      <c r="J43" s="40">
        <f>J56+J42</f>
        <v>20</v>
      </c>
      <c r="K43" s="9"/>
      <c r="L43" s="41">
        <f>-J43*VLOOKUP(J41,'Selection Lists'!$A$3:$C$30,IF(J40&lt;600,2,3),FALSE)</f>
        <v>-1</v>
      </c>
      <c r="M43" s="9"/>
      <c r="N43" s="9"/>
      <c r="O43" s="28"/>
      <c r="P43" s="9"/>
      <c r="Q43" s="9"/>
      <c r="R43" s="9"/>
      <c r="S43" s="28"/>
      <c r="T43" s="9"/>
      <c r="U43" s="9"/>
      <c r="V43" s="9"/>
      <c r="W43" s="28"/>
      <c r="X43" s="81"/>
      <c r="Y43" s="9"/>
    </row>
    <row r="44" spans="1:25" ht="12" customHeight="1">
      <c r="A44" s="78"/>
      <c r="B44" s="9"/>
      <c r="C44" s="38" t="s">
        <v>104</v>
      </c>
      <c r="D44" s="25" t="s">
        <v>107</v>
      </c>
      <c r="E44" s="9"/>
      <c r="F44" s="41">
        <f>VLOOKUP(D44,'Selection Lists'!$E$3:$F$30,2,FALSE)</f>
        <v>8</v>
      </c>
      <c r="G44" s="9"/>
      <c r="H44" s="9"/>
      <c r="I44" s="38" t="s">
        <v>104</v>
      </c>
      <c r="J44" s="25" t="s">
        <v>6</v>
      </c>
      <c r="K44" s="9"/>
      <c r="L44" s="41">
        <f>VLOOKUP(J44,'Selection Lists'!$E$3:$F$30,2,FALSE)</f>
        <v>13</v>
      </c>
      <c r="M44" s="9"/>
      <c r="N44" s="9"/>
      <c r="O44" s="28"/>
      <c r="P44" s="9"/>
      <c r="Q44" s="9"/>
      <c r="R44" s="9"/>
      <c r="S44" s="28"/>
      <c r="T44" s="9"/>
      <c r="U44" s="9"/>
      <c r="V44" s="9"/>
      <c r="W44" s="28"/>
      <c r="X44" s="81"/>
      <c r="Y44" s="9"/>
    </row>
    <row r="45" spans="1:25" ht="12" customHeight="1">
      <c r="A45" s="78"/>
      <c r="B45" s="9"/>
      <c r="C45" s="38" t="s">
        <v>87</v>
      </c>
      <c r="D45" s="26" t="s">
        <v>14</v>
      </c>
      <c r="E45" s="9"/>
      <c r="F45" s="41">
        <f>IF(D45="Yes",-0.5,0)</f>
        <v>-0.5</v>
      </c>
      <c r="G45" s="9"/>
      <c r="H45" s="9"/>
      <c r="I45" s="38" t="s">
        <v>87</v>
      </c>
      <c r="J45" s="26" t="s">
        <v>14</v>
      </c>
      <c r="K45" s="9"/>
      <c r="L45" s="41">
        <f>IF(J45="Yes",-0.5,0)</f>
        <v>-0.5</v>
      </c>
      <c r="M45" s="9"/>
      <c r="N45" s="9"/>
      <c r="O45" s="28"/>
      <c r="P45" s="9"/>
      <c r="Q45" s="9"/>
      <c r="R45" s="9"/>
      <c r="S45" s="28"/>
      <c r="T45" s="9"/>
      <c r="U45" s="9"/>
      <c r="V45" s="9"/>
      <c r="W45" s="28"/>
      <c r="X45" s="81"/>
      <c r="Y45" s="9"/>
    </row>
    <row r="46" spans="1:25" ht="12" customHeight="1">
      <c r="A46" s="78"/>
      <c r="B46" s="9"/>
      <c r="C46" s="38" t="s">
        <v>85</v>
      </c>
      <c r="D46" s="26" t="s">
        <v>14</v>
      </c>
      <c r="E46" s="9"/>
      <c r="F46" s="41">
        <f>IF(D46="Yes",-2,0)</f>
        <v>-2</v>
      </c>
      <c r="G46" s="9"/>
      <c r="H46" s="9"/>
      <c r="I46" s="38" t="s">
        <v>85</v>
      </c>
      <c r="J46" s="26" t="s">
        <v>15</v>
      </c>
      <c r="K46" s="9"/>
      <c r="L46" s="41">
        <f>IF(J46="Yes",-2,0)</f>
        <v>0</v>
      </c>
      <c r="M46" s="9"/>
      <c r="N46" s="9"/>
      <c r="O46" s="28"/>
      <c r="P46" s="9"/>
      <c r="Q46" s="9"/>
      <c r="R46" s="9"/>
      <c r="S46" s="28"/>
      <c r="T46" s="9"/>
      <c r="U46" s="9"/>
      <c r="V46" s="9"/>
      <c r="W46" s="28"/>
      <c r="X46" s="81"/>
      <c r="Y46" s="9"/>
    </row>
    <row r="47" spans="1:25" ht="12" customHeight="1">
      <c r="A47" s="78"/>
      <c r="B47" s="9"/>
      <c r="C47" s="38" t="s">
        <v>66</v>
      </c>
      <c r="D47" s="26">
        <v>4</v>
      </c>
      <c r="E47" s="9"/>
      <c r="F47" s="41">
        <f>-D47*0.1</f>
        <v>-0.4</v>
      </c>
      <c r="G47" s="9"/>
      <c r="H47" s="9"/>
      <c r="I47" s="38" t="s">
        <v>66</v>
      </c>
      <c r="J47" s="26">
        <v>4</v>
      </c>
      <c r="K47" s="9"/>
      <c r="L47" s="41">
        <f>-J47*0.1</f>
        <v>-0.4</v>
      </c>
      <c r="M47" s="9"/>
      <c r="N47" s="9"/>
      <c r="O47" s="28"/>
      <c r="P47" s="9"/>
      <c r="Q47" s="9"/>
      <c r="R47" s="9"/>
      <c r="S47" s="28"/>
      <c r="T47" s="9"/>
      <c r="U47" s="9"/>
      <c r="V47" s="9"/>
      <c r="W47" s="28"/>
      <c r="X47" s="81"/>
      <c r="Y47" s="9"/>
    </row>
    <row r="48" spans="1:25" ht="12" customHeight="1">
      <c r="A48" s="78"/>
      <c r="B48" s="9"/>
      <c r="C48" s="38" t="s">
        <v>86</v>
      </c>
      <c r="D48" s="26" t="s">
        <v>14</v>
      </c>
      <c r="E48" s="9"/>
      <c r="F48" s="41">
        <f>IF(D48="Yes",-0.1,0)</f>
        <v>-0.1</v>
      </c>
      <c r="G48" s="9"/>
      <c r="H48" s="9"/>
      <c r="I48" s="38" t="s">
        <v>86</v>
      </c>
      <c r="J48" s="26" t="s">
        <v>14</v>
      </c>
      <c r="K48" s="9"/>
      <c r="L48" s="41">
        <f>IF(J48="Yes",-0.1,0)</f>
        <v>-0.1</v>
      </c>
      <c r="M48" s="9"/>
      <c r="N48" s="9"/>
      <c r="O48" s="28"/>
      <c r="P48" s="9"/>
      <c r="Q48" s="9"/>
      <c r="R48" s="9"/>
      <c r="S48" s="28"/>
      <c r="T48" s="9"/>
      <c r="U48" s="9"/>
      <c r="V48" s="9"/>
      <c r="W48" s="28"/>
      <c r="X48" s="81"/>
      <c r="Y48" s="9"/>
    </row>
    <row r="49" spans="1:25" ht="12" customHeight="1" thickBot="1">
      <c r="A49" s="78"/>
      <c r="B49" s="9"/>
      <c r="C49" s="39" t="s">
        <v>74</v>
      </c>
      <c r="D49" s="27">
        <v>33</v>
      </c>
      <c r="E49" s="9"/>
      <c r="F49" s="42">
        <f>D49</f>
        <v>33</v>
      </c>
      <c r="G49" s="9"/>
      <c r="H49" s="9"/>
      <c r="I49" s="39" t="s">
        <v>74</v>
      </c>
      <c r="J49" s="27">
        <v>32</v>
      </c>
      <c r="K49" s="9"/>
      <c r="L49" s="42">
        <f>J49</f>
        <v>32</v>
      </c>
      <c r="M49" s="9"/>
      <c r="N49" s="9"/>
      <c r="O49" s="28"/>
      <c r="P49" s="9"/>
      <c r="Q49" s="9"/>
      <c r="R49" s="9"/>
      <c r="S49" s="28"/>
      <c r="T49" s="9"/>
      <c r="U49" s="9"/>
      <c r="V49" s="9"/>
      <c r="W49" s="28"/>
      <c r="X49" s="81"/>
      <c r="Y49" s="9"/>
    </row>
    <row r="50" spans="1:25" ht="12" customHeight="1" thickBot="1">
      <c r="A50" s="78"/>
      <c r="B50" s="9"/>
      <c r="C50" s="28"/>
      <c r="D50" s="13"/>
      <c r="E50" s="10"/>
      <c r="F50" s="28"/>
      <c r="G50" s="9"/>
      <c r="H50" s="9"/>
      <c r="I50" s="28"/>
      <c r="J50" s="13"/>
      <c r="K50" s="10"/>
      <c r="L50" s="28"/>
      <c r="M50" s="9"/>
      <c r="N50" s="9"/>
      <c r="O50" s="28"/>
      <c r="P50" s="9"/>
      <c r="Q50" s="9"/>
      <c r="R50" s="9"/>
      <c r="S50" s="28"/>
      <c r="T50" s="9"/>
      <c r="U50" s="9"/>
      <c r="V50" s="9"/>
      <c r="W50" s="28"/>
      <c r="X50" s="81"/>
      <c r="Y50" s="9"/>
    </row>
    <row r="51" spans="1:28" ht="12" customHeight="1" thickBot="1">
      <c r="A51" s="78"/>
      <c r="B51" s="9"/>
      <c r="C51" s="36" t="s">
        <v>129</v>
      </c>
      <c r="D51" s="22" t="s">
        <v>88</v>
      </c>
      <c r="E51" s="9"/>
      <c r="F51" s="54">
        <v>0</v>
      </c>
      <c r="G51" s="9"/>
      <c r="H51" s="9"/>
      <c r="I51" s="36" t="s">
        <v>129</v>
      </c>
      <c r="J51" s="22" t="s">
        <v>88</v>
      </c>
      <c r="K51" s="9"/>
      <c r="L51" s="54">
        <v>0</v>
      </c>
      <c r="M51" s="9"/>
      <c r="N51" s="9"/>
      <c r="O51" s="28"/>
      <c r="P51" s="9"/>
      <c r="Q51" s="9"/>
      <c r="R51" s="9"/>
      <c r="S51" s="28"/>
      <c r="T51" s="9"/>
      <c r="U51" s="9"/>
      <c r="V51" s="9"/>
      <c r="W51" s="28"/>
      <c r="X51" s="81"/>
      <c r="Y51" s="9"/>
      <c r="AB51" s="18"/>
    </row>
    <row r="52" spans="1:25" ht="12" customHeight="1">
      <c r="A52" s="78"/>
      <c r="B52" s="9"/>
      <c r="C52" s="28"/>
      <c r="D52" s="13"/>
      <c r="E52" s="10"/>
      <c r="F52" s="28"/>
      <c r="G52" s="9"/>
      <c r="H52" s="9"/>
      <c r="I52" s="28"/>
      <c r="J52" s="13"/>
      <c r="K52" s="10"/>
      <c r="L52" s="28"/>
      <c r="M52" s="9"/>
      <c r="N52" s="9"/>
      <c r="O52" s="28"/>
      <c r="P52" s="9"/>
      <c r="Q52" s="9"/>
      <c r="R52" s="9"/>
      <c r="S52" s="28"/>
      <c r="T52" s="9"/>
      <c r="U52" s="9"/>
      <c r="V52" s="9"/>
      <c r="W52" s="28"/>
      <c r="X52" s="81"/>
      <c r="Y52" s="9"/>
    </row>
    <row r="53" spans="1:25" ht="12" customHeight="1" hidden="1" thickBot="1">
      <c r="A53" s="78"/>
      <c r="B53" s="8" t="str">
        <f>"Base Receive Design Correction Factor:  "&amp;D12</f>
        <v>Base Receive Design Correction Factor:  First Road</v>
      </c>
      <c r="C53" s="28"/>
      <c r="D53" s="13"/>
      <c r="E53" s="10"/>
      <c r="F53" s="52">
        <f>(L49-L32)+(SUM(F43:F48)+SUM(L44:L48)+(F51+L51))-(SUM(F26:F31)+SUM(L26:L31)+(F34+L34))</f>
        <v>9</v>
      </c>
      <c r="G53" s="9"/>
      <c r="H53" s="8" t="str">
        <f>"Receive Design Correction Factor:  "&amp;J12</f>
        <v>Receive Design Correction Factor:  Second Road</v>
      </c>
      <c r="I53" s="28"/>
      <c r="J53" s="13"/>
      <c r="K53" s="10"/>
      <c r="L53" s="52">
        <f>(F49-F32)+(SUM(L44:L48)+SUM(F43:F48)+(F51+L51))-(SUM(L26:L31)+SUM(F26:F31)+(F34+L34))</f>
        <v>10</v>
      </c>
      <c r="M53" s="9"/>
      <c r="N53" s="9"/>
      <c r="O53" s="28"/>
      <c r="P53" s="9"/>
      <c r="Q53" s="9"/>
      <c r="R53" s="9"/>
      <c r="S53" s="28"/>
      <c r="T53" s="9"/>
      <c r="U53" s="9"/>
      <c r="V53" s="9"/>
      <c r="W53" s="28"/>
      <c r="X53" s="81"/>
      <c r="Y53" s="9"/>
    </row>
    <row r="54" spans="1:25" ht="12" customHeight="1" hidden="1">
      <c r="A54" s="78"/>
      <c r="B54" s="9"/>
      <c r="C54" s="28"/>
      <c r="D54" s="13"/>
      <c r="E54" s="9"/>
      <c r="F54" s="28"/>
      <c r="G54" s="9"/>
      <c r="H54" s="9"/>
      <c r="I54" s="28"/>
      <c r="J54" s="13"/>
      <c r="K54" s="9"/>
      <c r="L54" s="28"/>
      <c r="M54" s="9"/>
      <c r="N54" s="9"/>
      <c r="O54" s="28"/>
      <c r="P54" s="9"/>
      <c r="Q54" s="9"/>
      <c r="R54" s="9"/>
      <c r="S54" s="28"/>
      <c r="T54" s="9"/>
      <c r="U54" s="9"/>
      <c r="V54" s="9"/>
      <c r="W54" s="28"/>
      <c r="X54" s="81"/>
      <c r="Y54" s="9"/>
    </row>
    <row r="55" spans="1:25" ht="12" customHeight="1" thickBot="1">
      <c r="A55" s="78"/>
      <c r="B55" s="8" t="str">
        <f>"Antenna Pole Design:  "&amp;D12</f>
        <v>Antenna Pole Design:  First Road</v>
      </c>
      <c r="C55" s="28"/>
      <c r="D55" s="13"/>
      <c r="E55" s="9"/>
      <c r="F55" s="28"/>
      <c r="G55" s="9"/>
      <c r="H55" s="8" t="str">
        <f>"Antenna Pole Design:  "&amp;J12</f>
        <v>Antenna Pole Design:  Second Road</v>
      </c>
      <c r="I55" s="28"/>
      <c r="J55" s="13"/>
      <c r="K55" s="9"/>
      <c r="L55" s="28"/>
      <c r="M55" s="9"/>
      <c r="N55" s="9"/>
      <c r="O55" s="28"/>
      <c r="P55" s="9"/>
      <c r="Q55" s="9"/>
      <c r="R55" s="9"/>
      <c r="S55" s="28"/>
      <c r="T55" s="9"/>
      <c r="U55" s="9"/>
      <c r="V55" s="9"/>
      <c r="W55" s="28"/>
      <c r="X55" s="81"/>
      <c r="Y55" s="9"/>
    </row>
    <row r="56" spans="1:25" ht="12" customHeight="1">
      <c r="A56" s="78"/>
      <c r="B56" s="9"/>
      <c r="C56" s="33" t="s">
        <v>114</v>
      </c>
      <c r="D56" s="19">
        <v>20</v>
      </c>
      <c r="E56" s="9"/>
      <c r="F56" s="28"/>
      <c r="G56" s="9"/>
      <c r="H56" s="9"/>
      <c r="I56" s="33" t="s">
        <v>114</v>
      </c>
      <c r="J56" s="19">
        <v>10</v>
      </c>
      <c r="K56" s="9"/>
      <c r="L56" s="28"/>
      <c r="M56" s="9"/>
      <c r="N56" s="9"/>
      <c r="O56" s="28"/>
      <c r="P56" s="9"/>
      <c r="Q56" s="9"/>
      <c r="R56" s="9"/>
      <c r="S56" s="28"/>
      <c r="T56" s="9"/>
      <c r="U56" s="9"/>
      <c r="V56" s="9"/>
      <c r="W56" s="28"/>
      <c r="X56" s="81"/>
      <c r="Y56" s="9"/>
    </row>
    <row r="57" spans="1:25" ht="12" customHeight="1">
      <c r="A57" s="78"/>
      <c r="B57" s="9"/>
      <c r="C57" s="34" t="s">
        <v>1</v>
      </c>
      <c r="D57" s="20">
        <v>15</v>
      </c>
      <c r="E57" s="9"/>
      <c r="F57" s="28"/>
      <c r="G57" s="9"/>
      <c r="H57" s="9"/>
      <c r="I57" s="34" t="s">
        <v>1</v>
      </c>
      <c r="J57" s="20">
        <v>10</v>
      </c>
      <c r="K57" s="9"/>
      <c r="L57" s="28"/>
      <c r="M57" s="9"/>
      <c r="N57" s="9"/>
      <c r="O57" s="28"/>
      <c r="P57" s="9"/>
      <c r="Q57" s="9"/>
      <c r="R57" s="9"/>
      <c r="S57" s="28"/>
      <c r="T57" s="9"/>
      <c r="U57" s="9"/>
      <c r="V57" s="9"/>
      <c r="W57" s="28"/>
      <c r="X57" s="81"/>
      <c r="Y57" s="9"/>
    </row>
    <row r="58" spans="1:25" ht="12" customHeight="1" thickBot="1">
      <c r="A58" s="78"/>
      <c r="B58" s="9"/>
      <c r="C58" s="35" t="s">
        <v>80</v>
      </c>
      <c r="D58" s="21" t="s">
        <v>17</v>
      </c>
      <c r="E58" s="9"/>
      <c r="F58" s="28"/>
      <c r="G58" s="9"/>
      <c r="H58" s="9"/>
      <c r="I58" s="35" t="s">
        <v>80</v>
      </c>
      <c r="J58" s="21" t="s">
        <v>17</v>
      </c>
      <c r="K58" s="9"/>
      <c r="L58" s="28"/>
      <c r="M58" s="9"/>
      <c r="N58" s="9"/>
      <c r="O58" s="28"/>
      <c r="P58" s="9"/>
      <c r="Q58" s="9"/>
      <c r="R58" s="9"/>
      <c r="S58" s="28"/>
      <c r="T58" s="9"/>
      <c r="U58" s="9"/>
      <c r="V58" s="9"/>
      <c r="W58" s="28"/>
      <c r="X58" s="81"/>
      <c r="Y58" s="9"/>
    </row>
    <row r="59" spans="1:25" ht="12" customHeight="1" thickBot="1">
      <c r="A59" s="78"/>
      <c r="B59" s="9"/>
      <c r="C59" s="28"/>
      <c r="D59" s="9"/>
      <c r="E59" s="9"/>
      <c r="F59" s="28"/>
      <c r="G59" s="9"/>
      <c r="H59" s="9"/>
      <c r="I59" s="28"/>
      <c r="J59" s="9"/>
      <c r="K59" s="9"/>
      <c r="L59" s="28"/>
      <c r="M59" s="9"/>
      <c r="N59" s="9"/>
      <c r="O59" s="28"/>
      <c r="P59" s="9"/>
      <c r="Q59" s="9"/>
      <c r="R59" s="9"/>
      <c r="S59" s="28"/>
      <c r="T59" s="9"/>
      <c r="U59" s="9"/>
      <c r="V59" s="9"/>
      <c r="W59" s="28"/>
      <c r="X59" s="81"/>
      <c r="Y59" s="9"/>
    </row>
    <row r="60" spans="1:25" ht="12" customHeight="1" thickBot="1">
      <c r="A60" s="78"/>
      <c r="B60" s="8" t="str">
        <f>"Design Summary:  "&amp;D12</f>
        <v>Design Summary:  First Road</v>
      </c>
      <c r="C60" s="28"/>
      <c r="D60" s="9"/>
      <c r="E60" s="9"/>
      <c r="F60" s="43" t="s">
        <v>78</v>
      </c>
      <c r="G60" s="9"/>
      <c r="H60" s="8" t="str">
        <f>"Design Summary:  "&amp;J12</f>
        <v>Design Summary:  Second Road</v>
      </c>
      <c r="I60" s="28"/>
      <c r="J60" s="9"/>
      <c r="K60" s="9"/>
      <c r="L60" s="43" t="s">
        <v>78</v>
      </c>
      <c r="M60" s="9"/>
      <c r="N60" s="9"/>
      <c r="O60" s="28"/>
      <c r="P60" s="9"/>
      <c r="Q60" s="9"/>
      <c r="R60" s="9"/>
      <c r="S60" s="28"/>
      <c r="T60" s="9"/>
      <c r="U60" s="9"/>
      <c r="V60" s="9"/>
      <c r="W60" s="28"/>
      <c r="X60" s="81"/>
      <c r="Y60" s="9"/>
    </row>
    <row r="61" spans="1:25" ht="12" customHeight="1">
      <c r="A61" s="78"/>
      <c r="B61" s="9"/>
      <c r="C61" s="37" t="s">
        <v>72</v>
      </c>
      <c r="D61" s="48"/>
      <c r="E61" s="9"/>
      <c r="F61" s="45" t="str">
        <f>D19</f>
        <v>6</v>
      </c>
      <c r="G61" s="9"/>
      <c r="H61" s="9"/>
      <c r="I61" s="37" t="s">
        <v>72</v>
      </c>
      <c r="J61" s="48"/>
      <c r="K61" s="9"/>
      <c r="L61" s="45" t="str">
        <f>J19</f>
        <v>186</v>
      </c>
      <c r="M61" s="9"/>
      <c r="N61" s="9"/>
      <c r="O61" s="28"/>
      <c r="P61" s="9"/>
      <c r="Q61" s="9"/>
      <c r="R61" s="187"/>
      <c r="S61" s="187"/>
      <c r="T61" s="187"/>
      <c r="U61" s="9"/>
      <c r="V61" s="9"/>
      <c r="W61" s="28"/>
      <c r="X61" s="81"/>
      <c r="Y61" s="9"/>
    </row>
    <row r="62" spans="1:25" ht="12" customHeight="1" thickBot="1">
      <c r="A62" s="78"/>
      <c r="B62" s="9"/>
      <c r="C62" s="38" t="s">
        <v>58</v>
      </c>
      <c r="D62" s="49"/>
      <c r="E62" s="9"/>
      <c r="F62" s="41">
        <f>Q7</f>
        <v>4.68</v>
      </c>
      <c r="G62" s="9"/>
      <c r="H62" s="9"/>
      <c r="I62" s="38" t="s">
        <v>58</v>
      </c>
      <c r="J62" s="49"/>
      <c r="K62" s="9"/>
      <c r="L62" s="41">
        <f>Q7</f>
        <v>4.68</v>
      </c>
      <c r="M62" s="9"/>
      <c r="N62" s="9"/>
      <c r="O62" s="28"/>
      <c r="P62" s="9"/>
      <c r="Q62" s="9"/>
      <c r="R62" s="9"/>
      <c r="S62" s="28"/>
      <c r="T62" s="9"/>
      <c r="U62" s="9"/>
      <c r="V62" s="9"/>
      <c r="W62" s="28"/>
      <c r="X62" s="81"/>
      <c r="Y62" s="9"/>
    </row>
    <row r="63" spans="1:25" ht="12" customHeight="1">
      <c r="A63" s="78"/>
      <c r="B63" s="9"/>
      <c r="C63" s="38" t="s">
        <v>114</v>
      </c>
      <c r="D63" s="49"/>
      <c r="E63" s="9"/>
      <c r="F63" s="41">
        <f>D56</f>
        <v>20</v>
      </c>
      <c r="G63" s="9"/>
      <c r="H63" s="9"/>
      <c r="I63" s="38" t="s">
        <v>114</v>
      </c>
      <c r="J63" s="49"/>
      <c r="K63" s="9"/>
      <c r="L63" s="41">
        <f>J56</f>
        <v>10</v>
      </c>
      <c r="M63" s="9"/>
      <c r="N63" s="9"/>
      <c r="O63" s="188" t="s">
        <v>94</v>
      </c>
      <c r="P63" s="189"/>
      <c r="Q63" s="189"/>
      <c r="R63" s="189"/>
      <c r="S63" s="189"/>
      <c r="T63" s="189"/>
      <c r="U63" s="190"/>
      <c r="V63" s="175" t="str">
        <f>D12</f>
        <v>First Road</v>
      </c>
      <c r="W63" s="175" t="str">
        <f>J12</f>
        <v>Second Road</v>
      </c>
      <c r="X63" s="81"/>
      <c r="Y63" s="9"/>
    </row>
    <row r="64" spans="1:25" ht="12" customHeight="1" thickBot="1">
      <c r="A64" s="78"/>
      <c r="B64" s="9"/>
      <c r="C64" s="38" t="s">
        <v>73</v>
      </c>
      <c r="D64" s="49"/>
      <c r="E64" s="9"/>
      <c r="F64" s="41">
        <f>F44</f>
        <v>8</v>
      </c>
      <c r="G64" s="9"/>
      <c r="H64" s="9"/>
      <c r="I64" s="38" t="s">
        <v>73</v>
      </c>
      <c r="J64" s="49"/>
      <c r="K64" s="9"/>
      <c r="L64" s="41">
        <f>L44</f>
        <v>13</v>
      </c>
      <c r="M64" s="9"/>
      <c r="N64" s="9"/>
      <c r="O64" s="191"/>
      <c r="P64" s="192"/>
      <c r="Q64" s="192"/>
      <c r="R64" s="192"/>
      <c r="S64" s="192"/>
      <c r="T64" s="192"/>
      <c r="U64" s="193"/>
      <c r="V64" s="177"/>
      <c r="W64" s="177"/>
      <c r="X64" s="81"/>
      <c r="Y64" s="9"/>
    </row>
    <row r="65" spans="1:25" ht="12" customHeight="1">
      <c r="A65" s="78"/>
      <c r="B65" s="9"/>
      <c r="C65" s="38" t="s">
        <v>74</v>
      </c>
      <c r="D65" s="49"/>
      <c r="E65" s="9"/>
      <c r="F65" s="41">
        <f>F49</f>
        <v>33</v>
      </c>
      <c r="G65" s="9"/>
      <c r="H65" s="9"/>
      <c r="I65" s="38" t="s">
        <v>74</v>
      </c>
      <c r="J65" s="49"/>
      <c r="K65" s="9"/>
      <c r="L65" s="41">
        <f>L49</f>
        <v>32</v>
      </c>
      <c r="M65" s="9"/>
      <c r="N65" s="9"/>
      <c r="O65" s="202" t="s">
        <v>84</v>
      </c>
      <c r="P65" s="203"/>
      <c r="Q65" s="203"/>
      <c r="R65" s="203"/>
      <c r="S65" s="203"/>
      <c r="T65" s="203"/>
      <c r="U65" s="204"/>
      <c r="V65" s="53">
        <f>32.4+20*LOG10(D23)+20*LOG10(F62)</f>
        <v>99.08505686979143</v>
      </c>
      <c r="W65" s="53">
        <f>32.4+20*LOG10(J23)+20*LOG10(F62)</f>
        <v>98.90432220678896</v>
      </c>
      <c r="X65" s="81"/>
      <c r="Y65" s="9"/>
    </row>
    <row r="66" spans="1:25" ht="12" customHeight="1">
      <c r="A66" s="78"/>
      <c r="B66" s="9"/>
      <c r="C66" s="38" t="s">
        <v>168</v>
      </c>
      <c r="D66" s="49"/>
      <c r="E66" s="9"/>
      <c r="F66" s="41">
        <f>VLOOKUP($J$56,$P$19:$W$36,4,FALSE)</f>
        <v>-78</v>
      </c>
      <c r="G66" s="9"/>
      <c r="H66" s="9"/>
      <c r="I66" s="38" t="s">
        <v>168</v>
      </c>
      <c r="J66" s="49"/>
      <c r="K66" s="9"/>
      <c r="L66" s="41">
        <f>VLOOKUP($J$56,$P$19:$W$36,8,FALSE)</f>
        <v>-78</v>
      </c>
      <c r="M66" s="9"/>
      <c r="N66" s="9"/>
      <c r="O66" s="212" t="s">
        <v>93</v>
      </c>
      <c r="P66" s="213"/>
      <c r="Q66" s="213"/>
      <c r="R66" s="213"/>
      <c r="S66" s="213"/>
      <c r="T66" s="213"/>
      <c r="U66" s="214"/>
      <c r="V66" s="41">
        <f>SUM(F26:F31)+F34+SUM(L26:L32)+L34-VLOOKUP($J$56,$P$19:$W$36,2,FALSE)</f>
        <v>124.5</v>
      </c>
      <c r="W66" s="41">
        <f>SUM(F26:F32)+F34+SUM(L26:L31)+L34-VLOOKUP($J$56,$P$19:$W$36,6,FALSE)</f>
        <v>125.5</v>
      </c>
      <c r="X66" s="81"/>
      <c r="Y66" s="9"/>
    </row>
    <row r="67" spans="1:25" ht="12" customHeight="1" thickBot="1">
      <c r="A67" s="78"/>
      <c r="B67" s="9"/>
      <c r="C67" s="38" t="s">
        <v>169</v>
      </c>
      <c r="D67" s="49"/>
      <c r="E67" s="9"/>
      <c r="F67" s="41">
        <f>VLOOKUP($J$56,$P$19:$W$36,8,FALSE)</f>
        <v>-78</v>
      </c>
      <c r="G67" s="9"/>
      <c r="H67" s="9"/>
      <c r="I67" s="38" t="s">
        <v>169</v>
      </c>
      <c r="J67" s="49"/>
      <c r="K67" s="9"/>
      <c r="L67" s="41">
        <f>VLOOKUP($J$56,$P$19:$W$36,4,FALSE)</f>
        <v>-78</v>
      </c>
      <c r="M67" s="9"/>
      <c r="N67" s="9"/>
      <c r="O67" s="184" t="s">
        <v>108</v>
      </c>
      <c r="P67" s="185"/>
      <c r="Q67" s="185"/>
      <c r="R67" s="185"/>
      <c r="S67" s="185"/>
      <c r="T67" s="185"/>
      <c r="U67" s="186"/>
      <c r="V67" s="42">
        <f>V66-V65</f>
        <v>25.41494313020857</v>
      </c>
      <c r="W67" s="42">
        <f>W66-W65</f>
        <v>26.59567779321104</v>
      </c>
      <c r="X67" s="81"/>
      <c r="Y67" s="9"/>
    </row>
    <row r="68" spans="1:25" ht="12" customHeight="1">
      <c r="A68" s="78"/>
      <c r="B68" s="9"/>
      <c r="C68" s="38" t="s">
        <v>75</v>
      </c>
      <c r="D68" s="49"/>
      <c r="E68" s="9"/>
      <c r="F68" s="41">
        <f>F38</f>
        <v>-94</v>
      </c>
      <c r="G68" s="9"/>
      <c r="H68" s="9"/>
      <c r="I68" s="38" t="s">
        <v>75</v>
      </c>
      <c r="J68" s="49"/>
      <c r="K68" s="9"/>
      <c r="L68" s="41">
        <f>L38</f>
        <v>-94</v>
      </c>
      <c r="M68" s="9"/>
      <c r="N68" s="9"/>
      <c r="O68" s="28"/>
      <c r="P68" s="9"/>
      <c r="Q68" s="9"/>
      <c r="R68" s="9"/>
      <c r="S68" s="28"/>
      <c r="T68" s="9"/>
      <c r="U68" s="9"/>
      <c r="V68" s="9"/>
      <c r="W68" s="28"/>
      <c r="X68" s="81"/>
      <c r="Y68" s="9"/>
    </row>
    <row r="69" spans="1:25" ht="12" customHeight="1">
      <c r="A69" s="78"/>
      <c r="B69" s="9"/>
      <c r="C69" s="38" t="s">
        <v>76</v>
      </c>
      <c r="D69" s="49"/>
      <c r="E69" s="9"/>
      <c r="F69" s="41">
        <f>F66-F38</f>
        <v>16</v>
      </c>
      <c r="G69" s="9"/>
      <c r="H69" s="9"/>
      <c r="I69" s="38" t="s">
        <v>76</v>
      </c>
      <c r="J69" s="49"/>
      <c r="K69" s="9"/>
      <c r="L69" s="41">
        <f>L66-L38</f>
        <v>16</v>
      </c>
      <c r="M69" s="9"/>
      <c r="N69" s="8" t="s">
        <v>95</v>
      </c>
      <c r="O69" s="28"/>
      <c r="P69" s="9"/>
      <c r="Q69" s="9"/>
      <c r="R69" s="9"/>
      <c r="S69" s="28"/>
      <c r="T69" s="9"/>
      <c r="U69" s="9"/>
      <c r="V69" s="9"/>
      <c r="W69" s="28"/>
      <c r="X69" s="81"/>
      <c r="Y69" s="9"/>
    </row>
    <row r="70" spans="1:25" ht="12" customHeight="1">
      <c r="A70" s="78"/>
      <c r="B70" s="9"/>
      <c r="C70" s="38" t="s">
        <v>77</v>
      </c>
      <c r="D70" s="49"/>
      <c r="E70" s="9"/>
      <c r="F70" s="41">
        <f>F67-F38</f>
        <v>16</v>
      </c>
      <c r="G70" s="9"/>
      <c r="H70" s="9"/>
      <c r="I70" s="38" t="s">
        <v>77</v>
      </c>
      <c r="J70" s="49"/>
      <c r="K70" s="9"/>
      <c r="L70" s="41">
        <f>L67-L38</f>
        <v>16</v>
      </c>
      <c r="M70" s="9"/>
      <c r="N70" s="8"/>
      <c r="O70" s="28" t="s">
        <v>109</v>
      </c>
      <c r="P70" s="9"/>
      <c r="Q70" s="9"/>
      <c r="R70" s="9"/>
      <c r="S70" s="28"/>
      <c r="T70" s="9"/>
      <c r="U70" s="9"/>
      <c r="V70" s="9"/>
      <c r="W70" s="28"/>
      <c r="X70" s="81"/>
      <c r="Y70" s="9"/>
    </row>
    <row r="71" spans="1:25" ht="12" customHeight="1">
      <c r="A71" s="78"/>
      <c r="B71" s="9"/>
      <c r="C71" s="38" t="s">
        <v>51</v>
      </c>
      <c r="D71" s="49"/>
      <c r="E71" s="9"/>
      <c r="F71" s="46" t="str">
        <f>D41</f>
        <v>LDF4-50</v>
      </c>
      <c r="G71" s="9"/>
      <c r="H71" s="9"/>
      <c r="I71" s="38" t="s">
        <v>51</v>
      </c>
      <c r="J71" s="49"/>
      <c r="K71" s="9"/>
      <c r="L71" s="46" t="str">
        <f>J41</f>
        <v>LDF4-50</v>
      </c>
      <c r="M71" s="9"/>
      <c r="N71" s="9"/>
      <c r="O71" s="28" t="s">
        <v>110</v>
      </c>
      <c r="P71" s="9"/>
      <c r="Q71" s="9"/>
      <c r="R71" s="9"/>
      <c r="S71" s="28"/>
      <c r="T71" s="9"/>
      <c r="U71" s="9"/>
      <c r="V71" s="9"/>
      <c r="W71" s="28"/>
      <c r="X71" s="81"/>
      <c r="Y71" s="9"/>
    </row>
    <row r="72" spans="1:25" ht="12" customHeight="1">
      <c r="A72" s="78"/>
      <c r="B72" s="9"/>
      <c r="C72" s="38" t="s">
        <v>65</v>
      </c>
      <c r="D72" s="49"/>
      <c r="E72" s="9"/>
      <c r="F72" s="41">
        <f>D43</f>
        <v>30</v>
      </c>
      <c r="G72" s="9"/>
      <c r="H72" s="9"/>
      <c r="I72" s="38" t="s">
        <v>65</v>
      </c>
      <c r="J72" s="49"/>
      <c r="K72" s="9"/>
      <c r="L72" s="41">
        <f>J43</f>
        <v>20</v>
      </c>
      <c r="M72" s="9"/>
      <c r="N72" s="9"/>
      <c r="O72" s="28" t="s">
        <v>111</v>
      </c>
      <c r="P72" s="9"/>
      <c r="Q72" s="9"/>
      <c r="R72" s="9"/>
      <c r="S72" s="28"/>
      <c r="T72" s="9"/>
      <c r="U72" s="9"/>
      <c r="V72" s="9"/>
      <c r="W72" s="28"/>
      <c r="X72" s="81"/>
      <c r="Y72" s="9"/>
    </row>
    <row r="73" spans="1:26" ht="12" customHeight="1" thickBot="1">
      <c r="A73" s="78"/>
      <c r="B73" s="9"/>
      <c r="C73" s="39" t="s">
        <v>52</v>
      </c>
      <c r="D73" s="50"/>
      <c r="E73" s="9"/>
      <c r="F73" s="47" t="str">
        <f>D44</f>
        <v>BA80 Dipole Array</v>
      </c>
      <c r="G73" s="9"/>
      <c r="H73" s="9"/>
      <c r="I73" s="39" t="s">
        <v>52</v>
      </c>
      <c r="J73" s="50"/>
      <c r="K73" s="9"/>
      <c r="L73" s="47" t="str">
        <f>J44</f>
        <v>YBSS9</v>
      </c>
      <c r="M73" s="9"/>
      <c r="N73" s="9"/>
      <c r="O73" s="28" t="s">
        <v>126</v>
      </c>
      <c r="P73" s="9"/>
      <c r="Q73" s="9"/>
      <c r="R73" s="9"/>
      <c r="S73" s="28"/>
      <c r="T73" s="9"/>
      <c r="U73" s="9"/>
      <c r="V73" s="9"/>
      <c r="W73" s="28"/>
      <c r="X73" s="81"/>
      <c r="Y73" s="9"/>
      <c r="Z73" s="6"/>
    </row>
    <row r="74" spans="1:26" ht="12" customHeight="1" thickBot="1">
      <c r="A74" s="78"/>
      <c r="B74" s="9"/>
      <c r="C74" s="28"/>
      <c r="D74" s="9"/>
      <c r="E74" s="9"/>
      <c r="F74" s="28"/>
      <c r="G74" s="9"/>
      <c r="H74" s="9"/>
      <c r="I74" s="28"/>
      <c r="J74" s="9"/>
      <c r="K74" s="9"/>
      <c r="L74" s="28"/>
      <c r="M74" s="9"/>
      <c r="N74" s="9"/>
      <c r="O74" s="9" t="s">
        <v>122</v>
      </c>
      <c r="P74" s="9"/>
      <c r="Q74" s="9"/>
      <c r="R74" s="9"/>
      <c r="S74" s="9"/>
      <c r="T74" s="9"/>
      <c r="U74" s="9"/>
      <c r="V74" s="9"/>
      <c r="W74" s="9"/>
      <c r="X74" s="81"/>
      <c r="Y74" s="9"/>
      <c r="Z74" s="6"/>
    </row>
    <row r="75" spans="1:26" ht="12" customHeight="1" thickBot="1">
      <c r="A75" s="78"/>
      <c r="B75" s="9"/>
      <c r="C75" s="51" t="s">
        <v>83</v>
      </c>
      <c r="D75" s="9"/>
      <c r="E75" s="9"/>
      <c r="F75" s="52">
        <f>EXP(2.30258502*(SUM(F43:F49)+F51)/10)/1000</f>
        <v>4.466834731418435</v>
      </c>
      <c r="G75" s="9"/>
      <c r="H75" s="9"/>
      <c r="I75" s="51" t="s">
        <v>83</v>
      </c>
      <c r="J75" s="9"/>
      <c r="K75" s="9"/>
      <c r="L75" s="52">
        <f>EXP(2.30258502*(SUM(L43:L49)+L51)/10)/1000</f>
        <v>19.95261688707222</v>
      </c>
      <c r="M75" s="9"/>
      <c r="N75" s="9"/>
      <c r="O75" s="28" t="s">
        <v>123</v>
      </c>
      <c r="P75" s="9"/>
      <c r="Q75" s="9"/>
      <c r="R75" s="9"/>
      <c r="S75" s="28"/>
      <c r="T75" s="9"/>
      <c r="U75" s="10"/>
      <c r="V75" s="10"/>
      <c r="W75" s="10"/>
      <c r="X75" s="81"/>
      <c r="Y75" s="9"/>
      <c r="Z75" s="6"/>
    </row>
    <row r="76" spans="1:26" ht="12" customHeight="1" thickBot="1">
      <c r="A76" s="98"/>
      <c r="B76" s="11"/>
      <c r="C76" s="29"/>
      <c r="D76" s="11"/>
      <c r="E76" s="11"/>
      <c r="F76" s="29"/>
      <c r="G76" s="11"/>
      <c r="H76" s="11"/>
      <c r="I76" s="29"/>
      <c r="J76" s="11"/>
      <c r="K76" s="11"/>
      <c r="L76" s="29"/>
      <c r="M76" s="11"/>
      <c r="N76" s="11"/>
      <c r="O76" s="29"/>
      <c r="P76" s="11"/>
      <c r="Q76" s="11"/>
      <c r="R76" s="11"/>
      <c r="S76" s="29"/>
      <c r="T76" s="11"/>
      <c r="U76" s="11"/>
      <c r="V76" s="11"/>
      <c r="W76" s="29"/>
      <c r="X76" s="99"/>
      <c r="Y76" s="9"/>
      <c r="Z76" s="6"/>
    </row>
    <row r="77" spans="1:25" ht="11.25">
      <c r="A77" s="9"/>
      <c r="B77" s="9"/>
      <c r="C77" s="28"/>
      <c r="D77" s="9"/>
      <c r="E77" s="10"/>
      <c r="F77" s="28"/>
      <c r="G77" s="9"/>
      <c r="H77" s="9"/>
      <c r="I77" s="28"/>
      <c r="J77" s="9"/>
      <c r="K77" s="9"/>
      <c r="L77" s="31"/>
      <c r="M77" s="9"/>
      <c r="N77" s="9"/>
      <c r="O77" s="86"/>
      <c r="P77" s="87"/>
      <c r="Q77" s="87"/>
      <c r="R77" s="87"/>
      <c r="S77" s="86"/>
      <c r="T77" s="87"/>
      <c r="U77" s="87"/>
      <c r="V77" s="87"/>
      <c r="W77" s="86"/>
      <c r="X77" s="9"/>
      <c r="Y77" s="9"/>
    </row>
    <row r="78" spans="1:25" ht="11.25">
      <c r="A78" s="9"/>
      <c r="B78" s="9"/>
      <c r="C78" s="28"/>
      <c r="D78" s="9"/>
      <c r="E78" s="10"/>
      <c r="F78" s="28"/>
      <c r="G78" s="9"/>
      <c r="H78" s="9"/>
      <c r="I78" s="28"/>
      <c r="J78" s="9"/>
      <c r="K78" s="9"/>
      <c r="L78" s="31"/>
      <c r="M78" s="9"/>
      <c r="N78" s="9"/>
      <c r="O78" s="86"/>
      <c r="P78" s="87"/>
      <c r="Q78" s="87"/>
      <c r="R78" s="87"/>
      <c r="S78" s="86"/>
      <c r="T78" s="87"/>
      <c r="U78" s="87"/>
      <c r="V78" s="87"/>
      <c r="W78" s="86"/>
      <c r="X78" s="9"/>
      <c r="Y78" s="9"/>
    </row>
  </sheetData>
  <sheetProtection password="CB88" sheet="1" formatCells="0" selectLockedCells="1"/>
  <mergeCells count="29">
    <mergeCell ref="W63:W64"/>
    <mergeCell ref="V63:V64"/>
    <mergeCell ref="U6:W13"/>
    <mergeCell ref="O66:U66"/>
    <mergeCell ref="R17:R18"/>
    <mergeCell ref="S17:S18"/>
    <mergeCell ref="U17:U18"/>
    <mergeCell ref="V17:V18"/>
    <mergeCell ref="W17:W18"/>
    <mergeCell ref="T16:T18"/>
    <mergeCell ref="O67:U67"/>
    <mergeCell ref="R61:T61"/>
    <mergeCell ref="O63:U64"/>
    <mergeCell ref="O15:W15"/>
    <mergeCell ref="Q16:S16"/>
    <mergeCell ref="U16:W16"/>
    <mergeCell ref="Q17:Q18"/>
    <mergeCell ref="O65:U65"/>
    <mergeCell ref="O16:O18"/>
    <mergeCell ref="P16:P18"/>
    <mergeCell ref="C4:T4"/>
    <mergeCell ref="C2:T2"/>
    <mergeCell ref="F40:F42"/>
    <mergeCell ref="L40:L42"/>
    <mergeCell ref="F23:F25"/>
    <mergeCell ref="L23:L25"/>
    <mergeCell ref="Q7:R7"/>
    <mergeCell ref="Q10:R10"/>
    <mergeCell ref="Q11:R11"/>
  </mergeCells>
  <dataValidations count="15">
    <dataValidation type="list" allowBlank="1" showInputMessage="1" showErrorMessage="1" sqref="J47 D47 J30 D30">
      <formula1>Values</formula1>
    </dataValidation>
    <dataValidation type="list" allowBlank="1" showInputMessage="1" showErrorMessage="1" promptTitle="Radio Licence Type" prompt="Choose:&#10;PP (Point-to-Point) or &#10;PMP (Point-to-Multipoint)" sqref="Q11:R11">
      <formula1>"PP,PMP"</formula1>
    </dataValidation>
    <dataValidation type="list" allowBlank="1" showInputMessage="1" showErrorMessage="1" promptTitle="Test Antenna Type" prompt="Select from list" sqref="D27 J27">
      <formula1>Antennas</formula1>
    </dataValidation>
    <dataValidation type="list" allowBlank="1" showInputMessage="1" showErrorMessage="1" promptTitle="Proposed Antenna Type" prompt="Select from list" sqref="D44 J44">
      <formula1>Antennas</formula1>
    </dataValidation>
    <dataValidation type="whole" allowBlank="1" showInputMessage="1" showErrorMessage="1" promptTitle="Radio Power Output" prompt="For new sites the following Radio Power Output shall be used:&#10; PMP Base Radio: &#10;   • +33dBm;&#10; PMP Remote and PP Link Radio:&#10;   • +30dBm or;&#10;   • +32dBm where a lower pole height can be achieved or:&#10;   • +20dBm to prevent excessive RSSI" sqref="J49">
      <formula1>20</formula1>
      <formula2>36</formula2>
    </dataValidation>
    <dataValidation type="list" allowBlank="1" showInputMessage="1" showErrorMessage="1" sqref="D45:D46 D48 J45:J46 J48 D28:D29 D31 J28:J29 J31">
      <formula1>"Yes,No"</formula1>
    </dataValidation>
    <dataValidation type="list" allowBlank="1" showInputMessage="1" showErrorMessage="1" promptTitle="Test Radio Type" prompt="Select from list" sqref="J24">
      <formula1>Radio</formula1>
    </dataValidation>
    <dataValidation type="list" allowBlank="1" showInputMessage="1" showErrorMessage="1" promptTitle="Proposed Feeder Cable Type" prompt="Select from list" sqref="D41 J41">
      <formula1>Cables</formula1>
    </dataValidation>
    <dataValidation type="list" allowBlank="1" showInputMessage="1" showErrorMessage="1" promptTitle="Proposed Radio Type" prompt="Select from list&#10;" sqref="J37">
      <formula1>Radio</formula1>
    </dataValidation>
    <dataValidation type="list" allowBlank="1" showInputMessage="1" showErrorMessage="1" promptTitle="Test Feeder Cable Type" prompt="Select from list" sqref="D25 J25">
      <formula1>Cables</formula1>
    </dataValidation>
    <dataValidation type="list" allowBlank="1" showInputMessage="1" showErrorMessage="1" promptTitle="Proposed Pole Type" prompt="Select from list" sqref="D58 J58">
      <formula1>Poles</formula1>
    </dataValidation>
    <dataValidation allowBlank="1" showInputMessage="1" showErrorMessage="1" promptTitle="Other Losses/Gains (Typical)" prompt="Feeder attenuator&#10;Cavity filter&#10;Circulator&#10;Feeder combiner/separator&#10;Transmit/receiver multicoupler&#10;Amplifier&#10;Duplexer loss adjustment" sqref="J51 D51 D34 J34"/>
    <dataValidation type="list" allowBlank="1" showInputMessage="1" showErrorMessage="1" promptTitle="Proposed Radio Type" prompt="Select from list&#10;" sqref="D37">
      <formula1>Radio</formula1>
    </dataValidation>
    <dataValidation type="list" allowBlank="1" showInputMessage="1" showErrorMessage="1" promptTitle="Test Radio Type" prompt="Select from list" sqref="D24">
      <formula1>Radio</formula1>
    </dataValidation>
    <dataValidation type="whole" allowBlank="1" showInputMessage="1" showErrorMessage="1" promptTitle="Radio Power Output" prompt="For new sites the following Radio Power Output shall be used:&#10; PMP Base Radio: &#10;   • +33dBm;&#10; PMP Remote and PP Link Radio:&#10;   • +30dBm or;&#10;   • +32dBm where a lower pole height can be achieved or:&#10;   • +20dBm to prevent excessive RSSI" sqref="D49">
      <formula1>20</formula1>
      <formula2>36</formula2>
    </dataValidation>
  </dataValidations>
  <printOptions horizontalCentered="1" verticalCentered="1"/>
  <pageMargins left="0.3937007874015748" right="0.3937007874015748" top="0.34" bottom="0.22" header="0.38" footer="0.21"/>
  <pageSetup errors="blank" fitToHeight="1" fitToWidth="1" horizontalDpi="600" verticalDpi="600" orientation="landscape" paperSize="9" scale="59" r:id="rId2"/>
  <headerFooter alignWithMargins="0">
    <oddFooter>&amp;L&amp;8Template Version 1 Revision 1&amp;R&amp;8Date of Design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2"/>
    <pageSetUpPr fitToPage="1"/>
  </sheetPr>
  <dimension ref="A1:Y56"/>
  <sheetViews>
    <sheetView zoomScale="75" zoomScaleNormal="75" zoomScalePageLayoutView="0" workbookViewId="0" topLeftCell="A1">
      <selection activeCell="J25" sqref="J25"/>
    </sheetView>
  </sheetViews>
  <sheetFormatPr defaultColWidth="9.140625" defaultRowHeight="12.75"/>
  <cols>
    <col min="1" max="1" width="21.140625" style="55" bestFit="1" customWidth="1"/>
    <col min="2" max="2" width="19.421875" style="55" customWidth="1"/>
    <col min="3" max="3" width="20.00390625" style="55" customWidth="1"/>
    <col min="4" max="4" width="9.140625" style="55" customWidth="1"/>
    <col min="5" max="5" width="16.140625" style="55" bestFit="1" customWidth="1"/>
    <col min="6" max="7" width="9.140625" style="55" customWidth="1"/>
    <col min="8" max="8" width="15.7109375" style="55" customWidth="1"/>
    <col min="9" max="9" width="16.00390625" style="55" customWidth="1"/>
    <col min="10" max="10" width="21.8515625" style="55" bestFit="1" customWidth="1"/>
    <col min="11" max="13" width="17.57421875" style="55" customWidth="1"/>
    <col min="14" max="14" width="26.00390625" style="55" customWidth="1"/>
    <col min="15" max="15" width="9.8515625" style="55" customWidth="1"/>
    <col min="16" max="19" width="9.140625" style="55" customWidth="1"/>
    <col min="20" max="20" width="18.28125" style="55" bestFit="1" customWidth="1"/>
    <col min="21" max="21" width="9.140625" style="55" customWidth="1"/>
    <col min="22" max="22" width="18.57421875" style="55" bestFit="1" customWidth="1"/>
    <col min="23" max="24" width="9.140625" style="55" customWidth="1"/>
    <col min="25" max="25" width="18.421875" style="116" customWidth="1"/>
    <col min="26" max="16384" width="9.140625" style="55" customWidth="1"/>
  </cols>
  <sheetData>
    <row r="1" spans="1:25" ht="29.25" customHeight="1" thickBot="1">
      <c r="A1" s="1" t="s">
        <v>3</v>
      </c>
      <c r="B1" s="2" t="s">
        <v>38</v>
      </c>
      <c r="C1" s="5" t="s">
        <v>39</v>
      </c>
      <c r="D1" s="3"/>
      <c r="E1" s="1" t="s">
        <v>4</v>
      </c>
      <c r="F1" s="2" t="s">
        <v>214</v>
      </c>
      <c r="G1" s="3"/>
      <c r="H1" s="147" t="s">
        <v>172</v>
      </c>
      <c r="I1" s="148" t="s">
        <v>8</v>
      </c>
      <c r="J1" s="148" t="s">
        <v>173</v>
      </c>
      <c r="K1" s="148" t="s">
        <v>174</v>
      </c>
      <c r="L1" s="149" t="s">
        <v>184</v>
      </c>
      <c r="M1" s="171" t="s">
        <v>185</v>
      </c>
      <c r="N1" s="150" t="s">
        <v>175</v>
      </c>
      <c r="O1" s="3"/>
      <c r="P1" s="4" t="s">
        <v>12</v>
      </c>
      <c r="Q1" s="3"/>
      <c r="R1" s="4" t="s">
        <v>13</v>
      </c>
      <c r="S1" s="3"/>
      <c r="T1" s="4" t="s">
        <v>16</v>
      </c>
      <c r="U1" s="3"/>
      <c r="V1" s="58" t="s">
        <v>40</v>
      </c>
      <c r="W1" s="59" t="s">
        <v>42</v>
      </c>
      <c r="Y1" s="115"/>
    </row>
    <row r="2" spans="1:25" s="125" customFormat="1" ht="13.5" customHeight="1">
      <c r="A2" s="117" t="s">
        <v>23</v>
      </c>
      <c r="B2" s="118">
        <v>0</v>
      </c>
      <c r="C2" s="119">
        <v>0</v>
      </c>
      <c r="D2" s="120"/>
      <c r="E2" s="117" t="s">
        <v>25</v>
      </c>
      <c r="F2" s="119">
        <v>0</v>
      </c>
      <c r="G2" s="120"/>
      <c r="H2" s="151"/>
      <c r="I2" s="146"/>
      <c r="J2" s="152" t="s">
        <v>22</v>
      </c>
      <c r="K2" s="153">
        <v>0</v>
      </c>
      <c r="L2" s="154"/>
      <c r="M2" s="172"/>
      <c r="N2" s="155"/>
      <c r="O2" s="120"/>
      <c r="P2" s="122">
        <v>0</v>
      </c>
      <c r="Q2" s="120"/>
      <c r="R2" s="122" t="s">
        <v>24</v>
      </c>
      <c r="S2" s="120"/>
      <c r="T2" s="122" t="s">
        <v>21</v>
      </c>
      <c r="U2" s="120"/>
      <c r="V2" s="123" t="s">
        <v>43</v>
      </c>
      <c r="W2" s="124">
        <v>2</v>
      </c>
      <c r="Y2" s="121"/>
    </row>
    <row r="3" spans="1:25" s="125" customFormat="1" ht="13.5" customHeight="1">
      <c r="A3" s="126" t="s">
        <v>158</v>
      </c>
      <c r="B3" s="127">
        <v>0.23</v>
      </c>
      <c r="C3" s="128">
        <v>0.29</v>
      </c>
      <c r="D3" s="120"/>
      <c r="E3" s="126" t="s">
        <v>107</v>
      </c>
      <c r="F3" s="128">
        <v>8</v>
      </c>
      <c r="G3" s="120"/>
      <c r="H3" s="224">
        <v>1</v>
      </c>
      <c r="I3" s="227" t="s">
        <v>186</v>
      </c>
      <c r="J3" s="160" t="s">
        <v>188</v>
      </c>
      <c r="K3" s="145">
        <v>-101</v>
      </c>
      <c r="L3" s="157">
        <v>52</v>
      </c>
      <c r="M3" s="157">
        <v>12.5</v>
      </c>
      <c r="N3" s="227"/>
      <c r="O3" s="120"/>
      <c r="P3" s="122">
        <v>1</v>
      </c>
      <c r="Q3" s="120"/>
      <c r="R3" s="122" t="s">
        <v>14</v>
      </c>
      <c r="S3" s="120"/>
      <c r="T3" s="122" t="s">
        <v>17</v>
      </c>
      <c r="U3" s="120"/>
      <c r="V3" s="129" t="s">
        <v>41</v>
      </c>
      <c r="W3" s="130">
        <v>2</v>
      </c>
      <c r="Y3" s="121"/>
    </row>
    <row r="4" spans="1:25" s="125" customFormat="1" ht="13.5" customHeight="1">
      <c r="A4" s="126" t="s">
        <v>35</v>
      </c>
      <c r="B4" s="127">
        <v>0.1</v>
      </c>
      <c r="C4" s="128">
        <v>0.15</v>
      </c>
      <c r="D4" s="120"/>
      <c r="E4" s="131" t="s">
        <v>30</v>
      </c>
      <c r="F4" s="132">
        <v>5</v>
      </c>
      <c r="G4" s="120"/>
      <c r="H4" s="225"/>
      <c r="I4" s="228"/>
      <c r="J4" s="160" t="s">
        <v>189</v>
      </c>
      <c r="K4" s="145">
        <v>-103</v>
      </c>
      <c r="L4" s="157">
        <v>45.6</v>
      </c>
      <c r="M4" s="157">
        <v>12.5</v>
      </c>
      <c r="N4" s="228"/>
      <c r="O4" s="120"/>
      <c r="P4" s="122">
        <v>2</v>
      </c>
      <c r="Q4" s="120"/>
      <c r="R4" s="122" t="s">
        <v>15</v>
      </c>
      <c r="S4" s="120"/>
      <c r="T4" s="122" t="s">
        <v>2</v>
      </c>
      <c r="U4" s="120"/>
      <c r="V4" s="126"/>
      <c r="W4" s="128">
        <v>3</v>
      </c>
      <c r="Y4" s="121"/>
    </row>
    <row r="5" spans="1:25" s="125" customFormat="1" ht="13.5" customHeight="1">
      <c r="A5" s="126" t="s">
        <v>36</v>
      </c>
      <c r="B5" s="127">
        <v>0.05</v>
      </c>
      <c r="C5" s="128">
        <v>0.07</v>
      </c>
      <c r="D5" s="120"/>
      <c r="E5" s="126" t="s">
        <v>9</v>
      </c>
      <c r="F5" s="128">
        <v>8</v>
      </c>
      <c r="G5" s="120"/>
      <c r="H5" s="225"/>
      <c r="I5" s="228"/>
      <c r="J5" s="160" t="s">
        <v>190</v>
      </c>
      <c r="K5" s="145">
        <v>-102</v>
      </c>
      <c r="L5" s="157">
        <v>40</v>
      </c>
      <c r="M5" s="157">
        <v>12.5</v>
      </c>
      <c r="N5" s="228"/>
      <c r="O5" s="120"/>
      <c r="P5" s="122">
        <v>3</v>
      </c>
      <c r="Q5" s="120"/>
      <c r="R5" s="122"/>
      <c r="S5" s="120"/>
      <c r="T5" s="122" t="s">
        <v>29</v>
      </c>
      <c r="U5" s="120"/>
      <c r="V5" s="126"/>
      <c r="W5" s="128"/>
      <c r="Y5" s="121"/>
    </row>
    <row r="6" spans="1:25" s="125" customFormat="1" ht="13.5" customHeight="1">
      <c r="A6" s="126" t="s">
        <v>37</v>
      </c>
      <c r="B6" s="127">
        <v>0.03</v>
      </c>
      <c r="C6" s="128">
        <v>0.04</v>
      </c>
      <c r="D6" s="120"/>
      <c r="E6" s="126" t="s">
        <v>33</v>
      </c>
      <c r="F6" s="128">
        <v>2</v>
      </c>
      <c r="G6" s="120"/>
      <c r="H6" s="225"/>
      <c r="I6" s="228"/>
      <c r="J6" s="160" t="s">
        <v>191</v>
      </c>
      <c r="K6" s="145">
        <v>-106</v>
      </c>
      <c r="L6" s="157">
        <v>23.1</v>
      </c>
      <c r="M6" s="157">
        <v>12.5</v>
      </c>
      <c r="N6" s="228"/>
      <c r="O6" s="120"/>
      <c r="P6" s="122">
        <v>4</v>
      </c>
      <c r="Q6" s="120"/>
      <c r="R6" s="122"/>
      <c r="S6" s="120"/>
      <c r="T6" s="122" t="s">
        <v>28</v>
      </c>
      <c r="U6" s="120"/>
      <c r="V6" s="126"/>
      <c r="W6" s="128"/>
      <c r="Y6" s="121"/>
    </row>
    <row r="7" spans="1:25" s="125" customFormat="1" ht="13.5" customHeight="1">
      <c r="A7" s="126" t="s">
        <v>53</v>
      </c>
      <c r="B7" s="127">
        <v>0.165</v>
      </c>
      <c r="C7" s="128">
        <v>0.24</v>
      </c>
      <c r="D7" s="120"/>
      <c r="E7" s="126" t="s">
        <v>32</v>
      </c>
      <c r="F7" s="128">
        <v>11</v>
      </c>
      <c r="G7" s="120"/>
      <c r="H7" s="225"/>
      <c r="I7" s="228"/>
      <c r="J7" s="160" t="s">
        <v>194</v>
      </c>
      <c r="K7" s="145">
        <v>-110</v>
      </c>
      <c r="L7" s="157">
        <v>17.3</v>
      </c>
      <c r="M7" s="157">
        <v>12.5</v>
      </c>
      <c r="N7" s="228"/>
      <c r="O7" s="120"/>
      <c r="P7" s="122">
        <v>5</v>
      </c>
      <c r="Q7" s="120"/>
      <c r="R7" s="122"/>
      <c r="S7" s="120"/>
      <c r="T7" s="122" t="s">
        <v>18</v>
      </c>
      <c r="U7" s="120"/>
      <c r="V7" s="126"/>
      <c r="W7" s="128"/>
      <c r="Y7" s="121"/>
    </row>
    <row r="8" spans="1:25" s="125" customFormat="1" ht="13.5" customHeight="1">
      <c r="A8" s="126"/>
      <c r="B8" s="127"/>
      <c r="C8" s="128"/>
      <c r="D8" s="120"/>
      <c r="E8" s="126" t="s">
        <v>10</v>
      </c>
      <c r="F8" s="128">
        <v>2</v>
      </c>
      <c r="G8" s="120"/>
      <c r="H8" s="225"/>
      <c r="I8" s="228"/>
      <c r="J8" s="160" t="s">
        <v>193</v>
      </c>
      <c r="K8" s="145">
        <v>-106</v>
      </c>
      <c r="L8" s="157">
        <v>20</v>
      </c>
      <c r="M8" s="157">
        <v>12.5</v>
      </c>
      <c r="N8" s="228"/>
      <c r="O8" s="120"/>
      <c r="P8" s="122">
        <v>6</v>
      </c>
      <c r="Q8" s="120"/>
      <c r="R8" s="122"/>
      <c r="S8" s="120"/>
      <c r="T8" s="122" t="s">
        <v>19</v>
      </c>
      <c r="U8" s="120"/>
      <c r="V8" s="126"/>
      <c r="W8" s="128"/>
      <c r="Y8" s="121"/>
    </row>
    <row r="9" spans="1:25" s="125" customFormat="1" ht="13.5" customHeight="1">
      <c r="A9" s="126"/>
      <c r="B9" s="127"/>
      <c r="C9" s="128"/>
      <c r="D9" s="120"/>
      <c r="E9" s="126" t="s">
        <v>7</v>
      </c>
      <c r="F9" s="128">
        <v>14</v>
      </c>
      <c r="G9" s="120"/>
      <c r="H9" s="225"/>
      <c r="I9" s="228"/>
      <c r="J9" s="160" t="s">
        <v>192</v>
      </c>
      <c r="K9" s="145">
        <v>-113</v>
      </c>
      <c r="L9" s="157">
        <v>11.6</v>
      </c>
      <c r="M9" s="157">
        <v>12.5</v>
      </c>
      <c r="N9" s="228"/>
      <c r="O9" s="120"/>
      <c r="P9" s="122">
        <v>7</v>
      </c>
      <c r="Q9" s="120"/>
      <c r="R9" s="122"/>
      <c r="S9" s="120"/>
      <c r="T9" s="122" t="s">
        <v>20</v>
      </c>
      <c r="U9" s="120"/>
      <c r="V9" s="126"/>
      <c r="W9" s="128"/>
      <c r="Y9" s="121"/>
    </row>
    <row r="10" spans="1:25" s="125" customFormat="1" ht="13.5" customHeight="1" thickBot="1">
      <c r="A10" s="126"/>
      <c r="B10" s="127"/>
      <c r="C10" s="128"/>
      <c r="D10" s="120"/>
      <c r="E10" s="126" t="s">
        <v>5</v>
      </c>
      <c r="F10" s="128">
        <v>11</v>
      </c>
      <c r="G10" s="120"/>
      <c r="H10" s="226"/>
      <c r="I10" s="234"/>
      <c r="J10" s="165" t="s">
        <v>195</v>
      </c>
      <c r="K10" s="166">
        <v>-115</v>
      </c>
      <c r="L10" s="165">
        <v>8.7</v>
      </c>
      <c r="M10" s="165">
        <v>12.5</v>
      </c>
      <c r="N10" s="229"/>
      <c r="O10" s="120"/>
      <c r="P10" s="122">
        <v>8</v>
      </c>
      <c r="Q10" s="120"/>
      <c r="R10" s="122"/>
      <c r="S10" s="120"/>
      <c r="T10" s="122" t="s">
        <v>26</v>
      </c>
      <c r="U10" s="120"/>
      <c r="V10" s="126"/>
      <c r="W10" s="128"/>
      <c r="Y10" s="121"/>
    </row>
    <row r="11" spans="1:25" s="125" customFormat="1" ht="13.5" customHeight="1">
      <c r="A11" s="126"/>
      <c r="B11" s="127"/>
      <c r="C11" s="128"/>
      <c r="D11" s="120"/>
      <c r="E11" s="126" t="s">
        <v>6</v>
      </c>
      <c r="F11" s="128">
        <v>13</v>
      </c>
      <c r="G11" s="120"/>
      <c r="H11" s="235">
        <v>2</v>
      </c>
      <c r="I11" s="227" t="s">
        <v>186</v>
      </c>
      <c r="J11" s="163" t="s">
        <v>196</v>
      </c>
      <c r="K11" s="164">
        <v>-97</v>
      </c>
      <c r="L11" s="156">
        <v>103.9</v>
      </c>
      <c r="M11" s="156">
        <v>25</v>
      </c>
      <c r="N11" s="230"/>
      <c r="O11" s="120"/>
      <c r="P11" s="122">
        <v>9</v>
      </c>
      <c r="Q11" s="120"/>
      <c r="R11" s="122"/>
      <c r="S11" s="120"/>
      <c r="T11" s="122" t="s">
        <v>31</v>
      </c>
      <c r="U11" s="120"/>
      <c r="V11" s="126"/>
      <c r="W11" s="128"/>
      <c r="Y11" s="121"/>
    </row>
    <row r="12" spans="1:25" s="125" customFormat="1" ht="13.5" customHeight="1">
      <c r="A12" s="126"/>
      <c r="B12" s="127"/>
      <c r="C12" s="128"/>
      <c r="D12" s="120"/>
      <c r="E12" s="126"/>
      <c r="F12" s="128"/>
      <c r="G12" s="120"/>
      <c r="H12" s="236"/>
      <c r="I12" s="228"/>
      <c r="J12" s="160" t="s">
        <v>197</v>
      </c>
      <c r="K12" s="145">
        <v>-99</v>
      </c>
      <c r="L12" s="157">
        <v>91.2</v>
      </c>
      <c r="M12" s="157">
        <v>25</v>
      </c>
      <c r="N12" s="228"/>
      <c r="O12" s="120"/>
      <c r="P12" s="122">
        <v>10</v>
      </c>
      <c r="Q12" s="120"/>
      <c r="R12" s="122"/>
      <c r="S12" s="120"/>
      <c r="T12" s="122"/>
      <c r="U12" s="120"/>
      <c r="V12" s="126"/>
      <c r="W12" s="128"/>
      <c r="Y12" s="121"/>
    </row>
    <row r="13" spans="1:25" s="125" customFormat="1" ht="13.5" customHeight="1">
      <c r="A13" s="126"/>
      <c r="B13" s="127"/>
      <c r="C13" s="128"/>
      <c r="D13" s="120"/>
      <c r="E13" s="126"/>
      <c r="F13" s="128"/>
      <c r="G13" s="120"/>
      <c r="H13" s="236"/>
      <c r="I13" s="228"/>
      <c r="J13" s="160" t="s">
        <v>198</v>
      </c>
      <c r="K13" s="145">
        <v>-99</v>
      </c>
      <c r="L13" s="157">
        <v>80</v>
      </c>
      <c r="M13" s="157">
        <v>25</v>
      </c>
      <c r="N13" s="228"/>
      <c r="O13" s="120"/>
      <c r="P13" s="122"/>
      <c r="Q13" s="120"/>
      <c r="R13" s="122"/>
      <c r="S13" s="120"/>
      <c r="T13" s="122"/>
      <c r="U13" s="120"/>
      <c r="V13" s="126"/>
      <c r="W13" s="128"/>
      <c r="Y13" s="121"/>
    </row>
    <row r="14" spans="1:25" s="125" customFormat="1" ht="13.5" customHeight="1">
      <c r="A14" s="126"/>
      <c r="B14" s="127"/>
      <c r="C14" s="128"/>
      <c r="D14" s="120"/>
      <c r="E14" s="126"/>
      <c r="F14" s="128"/>
      <c r="G14" s="120"/>
      <c r="H14" s="236"/>
      <c r="I14" s="228"/>
      <c r="J14" s="160" t="s">
        <v>199</v>
      </c>
      <c r="K14" s="145">
        <v>-105</v>
      </c>
      <c r="L14" s="157">
        <v>46.2</v>
      </c>
      <c r="M14" s="157">
        <v>25</v>
      </c>
      <c r="N14" s="228"/>
      <c r="O14" s="120"/>
      <c r="P14" s="122"/>
      <c r="Q14" s="120"/>
      <c r="R14" s="122"/>
      <c r="S14" s="120"/>
      <c r="T14" s="122"/>
      <c r="U14" s="120"/>
      <c r="V14" s="126"/>
      <c r="W14" s="128"/>
      <c r="Y14" s="121"/>
    </row>
    <row r="15" spans="1:25" s="125" customFormat="1" ht="13.5" customHeight="1">
      <c r="A15" s="126"/>
      <c r="B15" s="127"/>
      <c r="C15" s="128"/>
      <c r="D15" s="120"/>
      <c r="E15" s="126"/>
      <c r="F15" s="128"/>
      <c r="G15" s="120"/>
      <c r="H15" s="236"/>
      <c r="I15" s="228"/>
      <c r="J15" s="160" t="s">
        <v>202</v>
      </c>
      <c r="K15" s="145">
        <v>-105</v>
      </c>
      <c r="L15" s="157">
        <v>34.6</v>
      </c>
      <c r="M15" s="157">
        <v>25</v>
      </c>
      <c r="N15" s="228"/>
      <c r="O15" s="120"/>
      <c r="P15" s="122"/>
      <c r="Q15" s="120"/>
      <c r="R15" s="122"/>
      <c r="S15" s="120"/>
      <c r="T15" s="122"/>
      <c r="U15" s="120"/>
      <c r="V15" s="126"/>
      <c r="W15" s="128"/>
      <c r="Y15" s="121"/>
    </row>
    <row r="16" spans="1:25" s="125" customFormat="1" ht="13.5" customHeight="1">
      <c r="A16" s="126"/>
      <c r="B16" s="127"/>
      <c r="C16" s="128"/>
      <c r="D16" s="120"/>
      <c r="E16" s="126"/>
      <c r="F16" s="128"/>
      <c r="G16" s="120"/>
      <c r="H16" s="236"/>
      <c r="I16" s="228"/>
      <c r="J16" s="160" t="s">
        <v>200</v>
      </c>
      <c r="K16" s="145">
        <v>-107</v>
      </c>
      <c r="L16" s="157">
        <v>40</v>
      </c>
      <c r="M16" s="157">
        <v>25</v>
      </c>
      <c r="N16" s="228"/>
      <c r="O16" s="120"/>
      <c r="P16" s="122"/>
      <c r="Q16" s="120"/>
      <c r="R16" s="122"/>
      <c r="S16" s="120"/>
      <c r="T16" s="122"/>
      <c r="U16" s="120"/>
      <c r="V16" s="126"/>
      <c r="W16" s="128"/>
      <c r="Y16" s="121"/>
    </row>
    <row r="17" spans="1:25" s="125" customFormat="1" ht="13.5" customHeight="1">
      <c r="A17" s="126"/>
      <c r="B17" s="127"/>
      <c r="C17" s="128"/>
      <c r="D17" s="120"/>
      <c r="E17" s="126"/>
      <c r="F17" s="128"/>
      <c r="G17" s="120"/>
      <c r="H17" s="236"/>
      <c r="I17" s="228"/>
      <c r="J17" s="160" t="s">
        <v>201</v>
      </c>
      <c r="K17" s="145">
        <v>-110</v>
      </c>
      <c r="L17" s="157">
        <v>23.1</v>
      </c>
      <c r="M17" s="157">
        <v>25</v>
      </c>
      <c r="N17" s="228"/>
      <c r="O17" s="120"/>
      <c r="P17" s="122"/>
      <c r="Q17" s="120"/>
      <c r="R17" s="122"/>
      <c r="S17" s="120"/>
      <c r="T17" s="122"/>
      <c r="U17" s="120"/>
      <c r="V17" s="126"/>
      <c r="W17" s="128"/>
      <c r="Y17" s="121"/>
    </row>
    <row r="18" spans="1:25" s="125" customFormat="1" ht="13.5" customHeight="1" thickBot="1">
      <c r="A18" s="126"/>
      <c r="B18" s="127"/>
      <c r="C18" s="128"/>
      <c r="D18" s="120"/>
      <c r="E18" s="126"/>
      <c r="F18" s="128"/>
      <c r="G18" s="120"/>
      <c r="H18" s="237"/>
      <c r="I18" s="234"/>
      <c r="J18" s="165" t="s">
        <v>203</v>
      </c>
      <c r="K18" s="170">
        <v>-112</v>
      </c>
      <c r="L18" s="165">
        <v>17.3</v>
      </c>
      <c r="M18" s="165">
        <v>25</v>
      </c>
      <c r="N18" s="229"/>
      <c r="O18" s="120"/>
      <c r="P18" s="122"/>
      <c r="Q18" s="120"/>
      <c r="R18" s="122"/>
      <c r="S18" s="120"/>
      <c r="T18" s="122"/>
      <c r="U18" s="120"/>
      <c r="V18" s="126"/>
      <c r="W18" s="128"/>
      <c r="Y18" s="121"/>
    </row>
    <row r="19" spans="1:25" s="125" customFormat="1" ht="13.5" customHeight="1">
      <c r="A19" s="126"/>
      <c r="B19" s="127"/>
      <c r="C19" s="128"/>
      <c r="D19" s="120"/>
      <c r="E19" s="126"/>
      <c r="F19" s="128"/>
      <c r="G19" s="120"/>
      <c r="H19" s="224">
        <v>3</v>
      </c>
      <c r="I19" s="227" t="s">
        <v>187</v>
      </c>
      <c r="J19" s="160" t="s">
        <v>204</v>
      </c>
      <c r="K19" s="145">
        <v>-94</v>
      </c>
      <c r="L19" s="157">
        <v>187.1</v>
      </c>
      <c r="M19" s="157">
        <v>50</v>
      </c>
      <c r="N19" s="230"/>
      <c r="O19" s="120"/>
      <c r="P19" s="122"/>
      <c r="Q19" s="120"/>
      <c r="R19" s="122"/>
      <c r="S19" s="120"/>
      <c r="T19" s="122"/>
      <c r="U19" s="120"/>
      <c r="V19" s="126"/>
      <c r="W19" s="128"/>
      <c r="Y19" s="121"/>
    </row>
    <row r="20" spans="1:25" s="125" customFormat="1" ht="13.5" customHeight="1">
      <c r="A20" s="126"/>
      <c r="B20" s="127"/>
      <c r="C20" s="128"/>
      <c r="D20" s="120"/>
      <c r="E20" s="126"/>
      <c r="F20" s="128"/>
      <c r="G20" s="120"/>
      <c r="H20" s="225"/>
      <c r="I20" s="228"/>
      <c r="J20" s="160" t="s">
        <v>205</v>
      </c>
      <c r="K20" s="145">
        <v>-96</v>
      </c>
      <c r="L20" s="157">
        <v>164.2</v>
      </c>
      <c r="M20" s="157">
        <v>50</v>
      </c>
      <c r="N20" s="228"/>
      <c r="O20" s="120"/>
      <c r="P20" s="122"/>
      <c r="Q20" s="120"/>
      <c r="R20" s="122"/>
      <c r="S20" s="120"/>
      <c r="T20" s="122"/>
      <c r="U20" s="120"/>
      <c r="V20" s="126"/>
      <c r="W20" s="128"/>
      <c r="Y20" s="121"/>
    </row>
    <row r="21" spans="1:25" s="125" customFormat="1" ht="13.5" customHeight="1">
      <c r="A21" s="126"/>
      <c r="B21" s="127"/>
      <c r="C21" s="128"/>
      <c r="D21" s="120"/>
      <c r="E21" s="126"/>
      <c r="F21" s="128"/>
      <c r="G21" s="120"/>
      <c r="H21" s="225"/>
      <c r="I21" s="228"/>
      <c r="J21" s="160" t="s">
        <v>206</v>
      </c>
      <c r="K21" s="145">
        <v>-96</v>
      </c>
      <c r="L21" s="157">
        <v>144</v>
      </c>
      <c r="M21" s="157">
        <v>50</v>
      </c>
      <c r="N21" s="228"/>
      <c r="O21" s="120"/>
      <c r="P21" s="122"/>
      <c r="Q21" s="120"/>
      <c r="R21" s="122"/>
      <c r="S21" s="120"/>
      <c r="T21" s="122"/>
      <c r="U21" s="120"/>
      <c r="V21" s="126"/>
      <c r="W21" s="128"/>
      <c r="Y21" s="121"/>
    </row>
    <row r="22" spans="1:25" s="125" customFormat="1" ht="13.5" customHeight="1">
      <c r="A22" s="126"/>
      <c r="B22" s="127"/>
      <c r="C22" s="128"/>
      <c r="D22" s="120"/>
      <c r="E22" s="126"/>
      <c r="F22" s="128"/>
      <c r="G22" s="120"/>
      <c r="H22" s="225"/>
      <c r="I22" s="228"/>
      <c r="J22" s="160" t="s">
        <v>207</v>
      </c>
      <c r="K22" s="145">
        <v>-102</v>
      </c>
      <c r="L22" s="157">
        <v>83.2</v>
      </c>
      <c r="M22" s="157">
        <v>50</v>
      </c>
      <c r="N22" s="228"/>
      <c r="O22" s="120"/>
      <c r="P22" s="122"/>
      <c r="Q22" s="120"/>
      <c r="R22" s="122"/>
      <c r="S22" s="120"/>
      <c r="T22" s="122"/>
      <c r="U22" s="120"/>
      <c r="V22" s="126"/>
      <c r="W22" s="128"/>
      <c r="Y22" s="121"/>
    </row>
    <row r="23" spans="1:25" s="125" customFormat="1" ht="13.5" customHeight="1">
      <c r="A23" s="126"/>
      <c r="B23" s="127"/>
      <c r="C23" s="128"/>
      <c r="D23" s="120"/>
      <c r="E23" s="126"/>
      <c r="F23" s="128"/>
      <c r="G23" s="120"/>
      <c r="H23" s="225"/>
      <c r="I23" s="228"/>
      <c r="J23" s="160" t="s">
        <v>208</v>
      </c>
      <c r="K23" s="145">
        <v>-102</v>
      </c>
      <c r="L23" s="157">
        <v>62.4</v>
      </c>
      <c r="M23" s="157">
        <v>50</v>
      </c>
      <c r="N23" s="228"/>
      <c r="O23" s="120"/>
      <c r="P23" s="122"/>
      <c r="Q23" s="120"/>
      <c r="R23" s="122"/>
      <c r="S23" s="120"/>
      <c r="T23" s="122"/>
      <c r="U23" s="120"/>
      <c r="V23" s="126"/>
      <c r="W23" s="128"/>
      <c r="Y23" s="121"/>
    </row>
    <row r="24" spans="1:25" s="125" customFormat="1" ht="13.5" customHeight="1">
      <c r="A24" s="126"/>
      <c r="B24" s="127"/>
      <c r="C24" s="128"/>
      <c r="D24" s="120"/>
      <c r="E24" s="126"/>
      <c r="F24" s="128"/>
      <c r="G24" s="120"/>
      <c r="H24" s="225"/>
      <c r="I24" s="228"/>
      <c r="J24" s="160" t="s">
        <v>209</v>
      </c>
      <c r="K24" s="145">
        <v>-104</v>
      </c>
      <c r="L24" s="157">
        <v>72</v>
      </c>
      <c r="M24" s="157">
        <v>50</v>
      </c>
      <c r="N24" s="228"/>
      <c r="O24" s="120"/>
      <c r="P24" s="122"/>
      <c r="Q24" s="120"/>
      <c r="R24" s="122"/>
      <c r="S24" s="120"/>
      <c r="T24" s="122"/>
      <c r="U24" s="120"/>
      <c r="V24" s="126"/>
      <c r="W24" s="128"/>
      <c r="Y24" s="121"/>
    </row>
    <row r="25" spans="1:25" s="125" customFormat="1" ht="13.5" customHeight="1">
      <c r="A25" s="126"/>
      <c r="B25" s="127"/>
      <c r="C25" s="128"/>
      <c r="D25" s="120"/>
      <c r="E25" s="126"/>
      <c r="F25" s="128"/>
      <c r="G25" s="120"/>
      <c r="H25" s="225"/>
      <c r="I25" s="228"/>
      <c r="J25" s="160" t="s">
        <v>210</v>
      </c>
      <c r="K25" s="145">
        <v>-107</v>
      </c>
      <c r="L25" s="157">
        <v>41.6</v>
      </c>
      <c r="M25" s="157">
        <v>50</v>
      </c>
      <c r="N25" s="228"/>
      <c r="O25" s="120"/>
      <c r="P25" s="122"/>
      <c r="Q25" s="120"/>
      <c r="R25" s="122"/>
      <c r="S25" s="120"/>
      <c r="T25" s="122"/>
      <c r="U25" s="120"/>
      <c r="V25" s="126"/>
      <c r="W25" s="128"/>
      <c r="Y25" s="121"/>
    </row>
    <row r="26" spans="1:25" s="125" customFormat="1" ht="13.5" customHeight="1" thickBot="1">
      <c r="A26" s="126"/>
      <c r="B26" s="127"/>
      <c r="C26" s="128"/>
      <c r="D26" s="120"/>
      <c r="E26" s="126"/>
      <c r="F26" s="128"/>
      <c r="G26" s="120"/>
      <c r="H26" s="226"/>
      <c r="I26" s="234"/>
      <c r="J26" s="165" t="s">
        <v>211</v>
      </c>
      <c r="K26" s="170">
        <v>-109</v>
      </c>
      <c r="L26" s="165">
        <v>31.2</v>
      </c>
      <c r="M26" s="165">
        <v>50</v>
      </c>
      <c r="N26" s="229"/>
      <c r="O26" s="120"/>
      <c r="P26" s="122"/>
      <c r="Q26" s="120"/>
      <c r="R26" s="122"/>
      <c r="S26" s="120"/>
      <c r="T26" s="122"/>
      <c r="U26" s="120"/>
      <c r="V26" s="126"/>
      <c r="W26" s="128"/>
      <c r="Y26" s="121"/>
    </row>
    <row r="27" spans="1:25" s="125" customFormat="1" ht="13.5" customHeight="1">
      <c r="A27" s="126"/>
      <c r="B27" s="127"/>
      <c r="C27" s="128"/>
      <c r="D27" s="120"/>
      <c r="E27" s="126"/>
      <c r="F27" s="128"/>
      <c r="G27" s="120"/>
      <c r="H27" s="224">
        <v>4</v>
      </c>
      <c r="I27" s="218" t="s">
        <v>176</v>
      </c>
      <c r="J27" s="143" t="s">
        <v>27</v>
      </c>
      <c r="K27" s="145">
        <v>-108</v>
      </c>
      <c r="L27" s="158" t="s">
        <v>177</v>
      </c>
      <c r="M27" s="158"/>
      <c r="N27" s="231" t="s">
        <v>183</v>
      </c>
      <c r="O27" s="120"/>
      <c r="P27" s="122"/>
      <c r="Q27" s="120"/>
      <c r="R27" s="122"/>
      <c r="S27" s="120"/>
      <c r="T27" s="122"/>
      <c r="U27" s="120"/>
      <c r="V27" s="126"/>
      <c r="W27" s="128"/>
      <c r="Y27" s="121"/>
    </row>
    <row r="28" spans="1:25" s="125" customFormat="1" ht="13.5" customHeight="1">
      <c r="A28" s="126"/>
      <c r="B28" s="127"/>
      <c r="C28" s="128"/>
      <c r="D28" s="120"/>
      <c r="E28" s="126"/>
      <c r="F28" s="128"/>
      <c r="G28" s="120"/>
      <c r="H28" s="225"/>
      <c r="I28" s="219"/>
      <c r="J28" s="144"/>
      <c r="K28" s="145"/>
      <c r="L28" s="158"/>
      <c r="M28" s="158"/>
      <c r="N28" s="232"/>
      <c r="O28" s="120"/>
      <c r="P28" s="122"/>
      <c r="Q28" s="120"/>
      <c r="R28" s="122"/>
      <c r="S28" s="120"/>
      <c r="T28" s="122"/>
      <c r="U28" s="120"/>
      <c r="V28" s="126"/>
      <c r="W28" s="128"/>
      <c r="Y28" s="121"/>
    </row>
    <row r="29" spans="1:25" s="125" customFormat="1" ht="13.5" customHeight="1">
      <c r="A29" s="126"/>
      <c r="B29" s="127"/>
      <c r="C29" s="128"/>
      <c r="D29" s="120"/>
      <c r="E29" s="126"/>
      <c r="F29" s="128"/>
      <c r="G29" s="120"/>
      <c r="H29" s="225"/>
      <c r="I29" s="219"/>
      <c r="J29" s="144"/>
      <c r="K29" s="145"/>
      <c r="L29" s="158"/>
      <c r="M29" s="158"/>
      <c r="N29" s="232"/>
      <c r="O29" s="120"/>
      <c r="P29" s="122"/>
      <c r="Q29" s="120"/>
      <c r="R29" s="122"/>
      <c r="S29" s="120"/>
      <c r="T29" s="122"/>
      <c r="U29" s="120"/>
      <c r="V29" s="126"/>
      <c r="W29" s="128"/>
      <c r="Y29" s="121"/>
    </row>
    <row r="30" spans="1:25" s="125" customFormat="1" ht="13.5" customHeight="1" thickBot="1">
      <c r="A30" s="133"/>
      <c r="B30" s="134"/>
      <c r="C30" s="135"/>
      <c r="D30" s="120"/>
      <c r="E30" s="133"/>
      <c r="F30" s="135"/>
      <c r="G30" s="120"/>
      <c r="H30" s="225"/>
      <c r="I30" s="219"/>
      <c r="J30" s="144"/>
      <c r="K30" s="145"/>
      <c r="L30" s="159"/>
      <c r="M30" s="159"/>
      <c r="N30" s="232"/>
      <c r="O30" s="120"/>
      <c r="P30" s="136"/>
      <c r="Q30" s="120"/>
      <c r="R30" s="136"/>
      <c r="S30" s="120"/>
      <c r="T30" s="136"/>
      <c r="U30" s="120"/>
      <c r="V30" s="133"/>
      <c r="W30" s="135"/>
      <c r="Y30" s="121"/>
    </row>
    <row r="31" spans="8:25" s="125" customFormat="1" ht="13.5" customHeight="1">
      <c r="H31" s="225"/>
      <c r="I31" s="219"/>
      <c r="J31" s="144"/>
      <c r="K31" s="145"/>
      <c r="L31" s="159"/>
      <c r="M31" s="159"/>
      <c r="N31" s="232"/>
      <c r="Y31" s="137"/>
    </row>
    <row r="32" spans="8:25" s="125" customFormat="1" ht="13.5" customHeight="1">
      <c r="H32" s="225"/>
      <c r="I32" s="219"/>
      <c r="J32" s="144"/>
      <c r="K32" s="145"/>
      <c r="L32" s="159"/>
      <c r="M32" s="159"/>
      <c r="N32" s="232"/>
      <c r="Y32" s="137"/>
    </row>
    <row r="33" spans="8:14" ht="13.5" customHeight="1">
      <c r="H33" s="226"/>
      <c r="I33" s="220"/>
      <c r="J33" s="127"/>
      <c r="K33" s="127"/>
      <c r="L33" s="159"/>
      <c r="M33" s="159"/>
      <c r="N33" s="233"/>
    </row>
    <row r="34" ht="13.5" customHeight="1">
      <c r="N34" s="167"/>
    </row>
    <row r="35" spans="8:14" ht="13.5" customHeight="1">
      <c r="H35" s="116"/>
      <c r="I35" s="116"/>
      <c r="J35" s="116"/>
      <c r="K35" s="116"/>
      <c r="L35" s="116"/>
      <c r="M35" s="116"/>
      <c r="N35" s="169"/>
    </row>
    <row r="36" spans="8:14" ht="13.5" customHeight="1">
      <c r="H36" s="116"/>
      <c r="I36" s="116"/>
      <c r="J36" s="116"/>
      <c r="K36" s="116"/>
      <c r="L36" s="116"/>
      <c r="M36" s="116"/>
      <c r="N36" s="169"/>
    </row>
    <row r="37" spans="8:14" ht="13.5" customHeight="1">
      <c r="H37" s="116"/>
      <c r="I37" s="116"/>
      <c r="J37" s="116"/>
      <c r="K37" s="116"/>
      <c r="L37" s="116"/>
      <c r="M37" s="116"/>
      <c r="N37" s="169"/>
    </row>
    <row r="38" spans="8:14" ht="13.5" customHeight="1">
      <c r="H38" s="116"/>
      <c r="I38" s="116"/>
      <c r="J38" s="116"/>
      <c r="K38" s="116"/>
      <c r="L38" s="116"/>
      <c r="M38" s="116"/>
      <c r="N38" s="169"/>
    </row>
    <row r="39" spans="8:14" ht="13.5" customHeight="1">
      <c r="H39" s="116"/>
      <c r="I39" s="116"/>
      <c r="J39" s="116"/>
      <c r="K39" s="116"/>
      <c r="L39" s="116"/>
      <c r="M39" s="116"/>
      <c r="N39" s="169"/>
    </row>
    <row r="40" spans="8:14" ht="13.5" customHeight="1">
      <c r="H40" s="116"/>
      <c r="I40" s="116"/>
      <c r="J40" s="116"/>
      <c r="K40" s="116"/>
      <c r="L40" s="116"/>
      <c r="M40" s="116"/>
      <c r="N40" s="169"/>
    </row>
    <row r="41" spans="8:25" s="141" customFormat="1" ht="54.75" customHeight="1">
      <c r="H41" s="169"/>
      <c r="I41" s="169"/>
      <c r="J41" s="169"/>
      <c r="K41" s="169"/>
      <c r="L41" s="169"/>
      <c r="M41" s="169"/>
      <c r="N41" s="169"/>
      <c r="Y41" s="142"/>
    </row>
    <row r="42" spans="8:25" s="141" customFormat="1" ht="45" customHeight="1">
      <c r="H42" s="168"/>
      <c r="I42" s="168"/>
      <c r="J42" s="168"/>
      <c r="K42" s="168"/>
      <c r="L42" s="168"/>
      <c r="M42" s="168"/>
      <c r="N42" s="168"/>
      <c r="Y42" s="142"/>
    </row>
    <row r="43" spans="8:25" s="141" customFormat="1" ht="45" customHeight="1">
      <c r="H43" s="223"/>
      <c r="I43" s="223"/>
      <c r="J43" s="223"/>
      <c r="K43" s="223"/>
      <c r="L43" s="223"/>
      <c r="M43" s="223"/>
      <c r="N43" s="223"/>
      <c r="Y43" s="142"/>
    </row>
    <row r="44" spans="1:6" ht="12.75">
      <c r="A44" s="138" t="s">
        <v>115</v>
      </c>
      <c r="B44" s="139">
        <f>'Design Sheet'!F38+'Design Sheet'!Q10</f>
        <v>-64</v>
      </c>
      <c r="C44" s="221" t="s">
        <v>116</v>
      </c>
      <c r="D44" s="221"/>
      <c r="E44" s="140">
        <f>'Design Sheet'!J56</f>
        <v>10</v>
      </c>
      <c r="F44" s="125"/>
    </row>
    <row r="45" ht="12.75">
      <c r="A45" s="56"/>
    </row>
    <row r="46" spans="1:6" ht="12.75">
      <c r="A46" s="56">
        <f>$B$44</f>
        <v>-64</v>
      </c>
      <c r="B46" s="55">
        <f>MIN('Design Sheet'!P25:P36)-1</f>
        <v>1</v>
      </c>
      <c r="E46" s="55">
        <f>B51+5</f>
        <v>-95</v>
      </c>
      <c r="F46" s="55">
        <f>$E$44</f>
        <v>10</v>
      </c>
    </row>
    <row r="47" spans="1:6" ht="12.75">
      <c r="A47" s="56">
        <f>$B$44</f>
        <v>-64</v>
      </c>
      <c r="B47" s="55">
        <f>MAX('Design Sheet'!P25:P36)+1</f>
        <v>25</v>
      </c>
      <c r="E47" s="55">
        <f>B52-5</f>
        <v>-55</v>
      </c>
      <c r="F47" s="55">
        <f>$E$44</f>
        <v>10</v>
      </c>
    </row>
    <row r="48" spans="1:6" ht="12.75">
      <c r="A48" s="56"/>
      <c r="E48" s="55">
        <f>(E46+E47)/2</f>
        <v>-75</v>
      </c>
      <c r="F48" s="55">
        <f>$E$44</f>
        <v>10</v>
      </c>
    </row>
    <row r="49" ht="12.75">
      <c r="A49" s="56" t="s">
        <v>117</v>
      </c>
    </row>
    <row r="50" ht="12.75">
      <c r="A50" s="56"/>
    </row>
    <row r="51" spans="1:2" ht="12.75">
      <c r="A51" s="56" t="s">
        <v>118</v>
      </c>
      <c r="B51" s="55">
        <f>ROUNDUP(MIN('Design Sheet'!$S$25:$S$35,'Design Sheet'!$W$25:$W$35,A46)-2.5,-1)</f>
        <v>-100</v>
      </c>
    </row>
    <row r="52" spans="1:2" ht="12.75">
      <c r="A52" s="56" t="s">
        <v>119</v>
      </c>
      <c r="B52" s="55">
        <f>ROUNDDOWN(MAX('Design Sheet'!$S$25:$S$35,'Design Sheet'!$W$25:$W$35,A47)+7.5,-1)</f>
        <v>-50</v>
      </c>
    </row>
    <row r="53" spans="1:2" ht="12.75">
      <c r="A53" s="56" t="s">
        <v>120</v>
      </c>
      <c r="B53" s="55">
        <f>B46</f>
        <v>1</v>
      </c>
    </row>
    <row r="54" spans="1:2" ht="12.75">
      <c r="A54" s="56" t="s">
        <v>121</v>
      </c>
      <c r="B54" s="55">
        <f>B47</f>
        <v>25</v>
      </c>
    </row>
    <row r="56" spans="1:3" ht="12.75">
      <c r="A56" s="222" t="str">
        <f>"Required Antenna Height "&amp;'Design Sheet'!J12&amp;""</f>
        <v>Required Antenna Height Second Road</v>
      </c>
      <c r="B56" s="222"/>
      <c r="C56" s="222"/>
    </row>
  </sheetData>
  <sheetProtection formatCells="0" selectLockedCells="1" sort="0"/>
  <mergeCells count="15">
    <mergeCell ref="H11:H18"/>
    <mergeCell ref="I11:I18"/>
    <mergeCell ref="H19:H26"/>
    <mergeCell ref="I19:I26"/>
    <mergeCell ref="H27:H33"/>
    <mergeCell ref="I27:I33"/>
    <mergeCell ref="C44:D44"/>
    <mergeCell ref="A56:C56"/>
    <mergeCell ref="H43:N43"/>
    <mergeCell ref="H3:H10"/>
    <mergeCell ref="N3:N10"/>
    <mergeCell ref="N11:N18"/>
    <mergeCell ref="N19:N26"/>
    <mergeCell ref="N27:N33"/>
    <mergeCell ref="I3:I10"/>
  </mergeCells>
  <printOptions/>
  <pageMargins left="0.75" right="0.75" top="1" bottom="1" header="0.5" footer="0.5"/>
  <pageSetup fitToHeight="1" fitToWidth="1" horizontalDpi="600" verticalDpi="600" orientation="portrait" scale="2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5"/>
  <sheetViews>
    <sheetView showZeros="0" zoomScale="68" zoomScaleNormal="68" zoomScalePageLayoutView="0" workbookViewId="0" topLeftCell="A2">
      <selection activeCell="B5" sqref="B5"/>
    </sheetView>
  </sheetViews>
  <sheetFormatPr defaultColWidth="9.140625" defaultRowHeight="12.75"/>
  <cols>
    <col min="1" max="1" width="71.7109375" style="0" customWidth="1"/>
    <col min="2" max="2" width="44.8515625" style="0" customWidth="1"/>
  </cols>
  <sheetData>
    <row r="1" spans="1:2" ht="12.75">
      <c r="A1" s="104"/>
      <c r="B1" s="105"/>
    </row>
    <row r="2" spans="1:2" ht="36.75" customHeight="1">
      <c r="A2" s="106" t="s">
        <v>137</v>
      </c>
      <c r="B2" s="107"/>
    </row>
    <row r="3" spans="1:2" ht="47.25" customHeight="1">
      <c r="A3" s="114" t="str">
        <f>IF('Design Sheet'!Q11="PMP",'Design Sheet'!D7,"Form Not Applicable")</f>
        <v>"Name" Water / Wastewater Scheme</v>
      </c>
      <c r="B3" s="108"/>
    </row>
    <row r="4" spans="1:2" s="60" customFormat="1" ht="30" customHeight="1">
      <c r="A4" s="62" t="s">
        <v>143</v>
      </c>
      <c r="B4" s="67" t="str">
        <f>'Design Sheet'!D12</f>
        <v>First Road</v>
      </c>
    </row>
    <row r="5" spans="1:13" s="60" customFormat="1" ht="60" customHeight="1">
      <c r="A5" s="62" t="s">
        <v>140</v>
      </c>
      <c r="B5" s="61" t="s">
        <v>160</v>
      </c>
      <c r="M5" s="161"/>
    </row>
    <row r="6" spans="1:13" s="60" customFormat="1" ht="60" customHeight="1">
      <c r="A6" s="62" t="s">
        <v>141</v>
      </c>
      <c r="B6" s="61" t="s">
        <v>161</v>
      </c>
      <c r="M6" s="161"/>
    </row>
    <row r="7" spans="1:13" s="60" customFormat="1" ht="30" customHeight="1">
      <c r="A7" s="62" t="s">
        <v>130</v>
      </c>
      <c r="B7" s="67" t="str">
        <f>'Design Sheet'!D13</f>
        <v>-31 20 05.00</v>
      </c>
      <c r="M7" s="161"/>
    </row>
    <row r="8" spans="1:13" s="60" customFormat="1" ht="30" customHeight="1">
      <c r="A8" s="62" t="s">
        <v>131</v>
      </c>
      <c r="B8" s="67" t="str">
        <f>'Design Sheet'!D14</f>
        <v>115 53 52.00</v>
      </c>
      <c r="M8" s="161"/>
    </row>
    <row r="9" spans="1:13" s="60" customFormat="1" ht="30" customHeight="1">
      <c r="A9" s="62" t="s">
        <v>132</v>
      </c>
      <c r="B9" s="67">
        <f>'Design Sheet'!D15</f>
        <v>0</v>
      </c>
      <c r="M9" s="161"/>
    </row>
    <row r="10" spans="1:13" s="60" customFormat="1" ht="30" customHeight="1">
      <c r="A10" s="62" t="s">
        <v>133</v>
      </c>
      <c r="B10" s="67">
        <f>'Design Sheet'!D16</f>
        <v>0</v>
      </c>
      <c r="M10" s="161"/>
    </row>
    <row r="11" spans="1:13" s="60" customFormat="1" ht="30" customHeight="1">
      <c r="A11" s="62" t="s">
        <v>153</v>
      </c>
      <c r="B11" s="67">
        <f>'Design Sheet'!D17</f>
        <v>0</v>
      </c>
      <c r="M11" s="161"/>
    </row>
    <row r="12" spans="1:13" s="60" customFormat="1" ht="60" customHeight="1">
      <c r="A12" s="62" t="s">
        <v>142</v>
      </c>
      <c r="B12" s="61" t="s">
        <v>162</v>
      </c>
      <c r="M12" s="161"/>
    </row>
    <row r="13" spans="1:13" s="60" customFormat="1" ht="30" customHeight="1">
      <c r="A13" s="62" t="s">
        <v>181</v>
      </c>
      <c r="B13" s="68" t="str">
        <f>'Design Sheet'!D37</f>
        <v>64QAM - Low gain (50)</v>
      </c>
      <c r="M13" s="161"/>
    </row>
    <row r="14" spans="1:13" s="60" customFormat="1" ht="30" customHeight="1">
      <c r="A14" s="62" t="s">
        <v>213</v>
      </c>
      <c r="B14" s="68" t="str">
        <f>IF(B21=12.5,"12K5D1D",IF(B21=25,"25K0D1D",IF(B21=50,"50K0D1D",)))</f>
        <v>50K0D1D</v>
      </c>
      <c r="M14" s="161"/>
    </row>
    <row r="15" spans="1:13" s="60" customFormat="1" ht="30" customHeight="1">
      <c r="A15" s="62" t="s">
        <v>134</v>
      </c>
      <c r="B15" s="68" t="str">
        <f>'Design Sheet'!D44</f>
        <v>BA80 Dipole Array</v>
      </c>
      <c r="M15" s="161"/>
    </row>
    <row r="16" spans="1:13" s="60" customFormat="1" ht="30" customHeight="1">
      <c r="A16" s="62" t="s">
        <v>144</v>
      </c>
      <c r="B16" s="68">
        <f>'Design Sheet'!D56</f>
        <v>20</v>
      </c>
      <c r="M16" s="161"/>
    </row>
    <row r="17" spans="1:2" s="60" customFormat="1" ht="30" customHeight="1">
      <c r="A17" s="62" t="s">
        <v>135</v>
      </c>
      <c r="B17" s="68" t="str">
        <f>'Design Sheet'!D58</f>
        <v>Free Standing</v>
      </c>
    </row>
    <row r="18" spans="1:2" s="60" customFormat="1" ht="30" customHeight="1">
      <c r="A18" s="62" t="s">
        <v>136</v>
      </c>
      <c r="B18" s="68" t="s">
        <v>139</v>
      </c>
    </row>
    <row r="19" spans="1:2" s="60" customFormat="1" ht="30" customHeight="1">
      <c r="A19" s="62" t="s">
        <v>145</v>
      </c>
      <c r="B19" s="68">
        <f>'Design Sheet'!D49</f>
        <v>33</v>
      </c>
    </row>
    <row r="20" spans="1:2" s="60" customFormat="1" ht="59.25" customHeight="1">
      <c r="A20" s="62" t="s">
        <v>212</v>
      </c>
      <c r="B20" s="68">
        <f>VLOOKUP('PMP Licence Details'!B13,RadioFull,3,FALSE)</f>
        <v>187.1</v>
      </c>
    </row>
    <row r="21" spans="1:2" s="60" customFormat="1" ht="60" customHeight="1">
      <c r="A21" s="62" t="s">
        <v>179</v>
      </c>
      <c r="B21" s="68">
        <f>VLOOKUP('PMP Licence Details'!B13,RadioFull,4,FALSE)</f>
        <v>50</v>
      </c>
    </row>
    <row r="22" spans="1:2" s="60" customFormat="1" ht="30" customHeight="1">
      <c r="A22" s="62" t="s">
        <v>146</v>
      </c>
      <c r="B22" s="68">
        <f>'Design Sheet'!D40</f>
        <v>461</v>
      </c>
    </row>
    <row r="23" spans="1:3" s="60" customFormat="1" ht="60" customHeight="1">
      <c r="A23" s="62" t="s">
        <v>147</v>
      </c>
      <c r="B23" s="66" t="s">
        <v>180</v>
      </c>
      <c r="C23" s="65"/>
    </row>
    <row r="24" spans="1:2" s="60" customFormat="1" ht="30" customHeight="1">
      <c r="A24" s="62" t="s">
        <v>148</v>
      </c>
      <c r="B24" s="68">
        <v>230944</v>
      </c>
    </row>
    <row r="25" spans="1:2" ht="94.5" customHeight="1">
      <c r="A25" s="63" t="s">
        <v>138</v>
      </c>
      <c r="B25" s="64"/>
    </row>
  </sheetData>
  <sheetProtection password="CB88" sheet="1" formatCells="0" selectLockedCells="1"/>
  <printOptions/>
  <pageMargins left="0.76" right="0.74" top="0.62" bottom="1.33" header="0.5" footer="1.15"/>
  <pageSetup fitToHeight="1" fitToWidth="1" horizontalDpi="1200" verticalDpi="1200" orientation="portrait" paperSize="9" scale="74" r:id="rId2"/>
  <headerFooter alignWithMargins="0">
    <oddFooter xml:space="preserve">&amp;LTemplate Version 1 Revision 1&amp;RDate of Design &amp;D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S29"/>
  <sheetViews>
    <sheetView showZeros="0" zoomScale="60" zoomScaleNormal="60" zoomScalePageLayoutView="0" workbookViewId="0" topLeftCell="A4">
      <selection activeCell="C13" sqref="C13"/>
    </sheetView>
  </sheetViews>
  <sheetFormatPr defaultColWidth="9.140625" defaultRowHeight="12.75"/>
  <cols>
    <col min="1" max="1" width="68.57421875" style="0" customWidth="1"/>
    <col min="2" max="2" width="33.28125" style="0" customWidth="1"/>
    <col min="3" max="3" width="35.57421875" style="0" customWidth="1"/>
    <col min="9" max="9" width="53.8515625" style="0" customWidth="1"/>
    <col min="16" max="16" width="13.57421875" style="0" bestFit="1" customWidth="1"/>
  </cols>
  <sheetData>
    <row r="1" spans="1:3" ht="12.75">
      <c r="A1" s="100"/>
      <c r="B1" s="101"/>
      <c r="C1" s="102"/>
    </row>
    <row r="2" spans="1:3" ht="54" customHeight="1">
      <c r="A2" s="246" t="s">
        <v>149</v>
      </c>
      <c r="B2" s="247"/>
      <c r="C2" s="103"/>
    </row>
    <row r="3" spans="1:3" ht="64.5" customHeight="1">
      <c r="A3" s="244" t="str">
        <f>IF('Design Sheet'!Q11="PP",'Design Sheet'!D7,"Form Not Applicable")</f>
        <v>Form Not Applicable</v>
      </c>
      <c r="B3" s="245"/>
      <c r="C3" s="103"/>
    </row>
    <row r="4" spans="1:3" ht="34.5" customHeight="1">
      <c r="A4" s="70" t="s">
        <v>159</v>
      </c>
      <c r="B4" s="69" t="s">
        <v>150</v>
      </c>
      <c r="C4" s="69" t="s">
        <v>151</v>
      </c>
    </row>
    <row r="5" spans="1:3" s="60" customFormat="1" ht="30" customHeight="1">
      <c r="A5" s="66" t="s">
        <v>154</v>
      </c>
      <c r="B5" s="67" t="str">
        <f>'Design Sheet'!D12</f>
        <v>First Road</v>
      </c>
      <c r="C5" s="67" t="str">
        <f>'Design Sheet'!J12</f>
        <v>Second Road</v>
      </c>
    </row>
    <row r="6" spans="1:3" s="60" customFormat="1" ht="51" customHeight="1">
      <c r="A6" s="66" t="s">
        <v>140</v>
      </c>
      <c r="B6" s="61" t="s">
        <v>160</v>
      </c>
      <c r="C6" s="61" t="s">
        <v>163</v>
      </c>
    </row>
    <row r="7" spans="1:11" s="60" customFormat="1" ht="49.5" customHeight="1">
      <c r="A7" s="66" t="s">
        <v>141</v>
      </c>
      <c r="B7" s="61" t="s">
        <v>164</v>
      </c>
      <c r="C7" s="61" t="s">
        <v>165</v>
      </c>
      <c r="K7" s="161"/>
    </row>
    <row r="8" spans="1:11" s="60" customFormat="1" ht="30" customHeight="1">
      <c r="A8" s="66" t="s">
        <v>130</v>
      </c>
      <c r="B8" s="67" t="str">
        <f>'Design Sheet'!D13</f>
        <v>-31 20 05.00</v>
      </c>
      <c r="C8" s="67" t="str">
        <f>'Design Sheet'!J13</f>
        <v>-31 17 33.69</v>
      </c>
      <c r="K8" s="161"/>
    </row>
    <row r="9" spans="1:11" s="60" customFormat="1" ht="30" customHeight="1">
      <c r="A9" s="66" t="s">
        <v>131</v>
      </c>
      <c r="B9" s="67" t="str">
        <f>'Design Sheet'!D14</f>
        <v>115 53 52.00</v>
      </c>
      <c r="C9" s="67" t="str">
        <f>'Design Sheet'!J14</f>
        <v>115 54 09.21</v>
      </c>
      <c r="K9" s="161"/>
    </row>
    <row r="10" spans="1:11" s="60" customFormat="1" ht="30" customHeight="1">
      <c r="A10" s="66" t="s">
        <v>132</v>
      </c>
      <c r="B10" s="67">
        <f>'Design Sheet'!D16</f>
        <v>0</v>
      </c>
      <c r="C10" s="67">
        <f>'Design Sheet'!J15</f>
        <v>0</v>
      </c>
      <c r="K10" s="161"/>
    </row>
    <row r="11" spans="1:11" s="60" customFormat="1" ht="30" customHeight="1">
      <c r="A11" s="66" t="s">
        <v>133</v>
      </c>
      <c r="B11" s="67">
        <f>'Design Sheet'!D15</f>
        <v>0</v>
      </c>
      <c r="C11" s="67">
        <f>'Design Sheet'!J16</f>
        <v>0</v>
      </c>
      <c r="K11" s="161"/>
    </row>
    <row r="12" spans="1:11" s="60" customFormat="1" ht="30" customHeight="1">
      <c r="A12" s="66" t="s">
        <v>156</v>
      </c>
      <c r="B12" s="67">
        <f>'Design Sheet'!D16</f>
        <v>0</v>
      </c>
      <c r="C12" s="67">
        <f>'Design Sheet'!J17</f>
        <v>0</v>
      </c>
      <c r="K12" s="161"/>
    </row>
    <row r="13" spans="1:11" s="60" customFormat="1" ht="48" customHeight="1">
      <c r="A13" s="66" t="s">
        <v>142</v>
      </c>
      <c r="B13" s="61" t="s">
        <v>162</v>
      </c>
      <c r="C13" s="61" t="s">
        <v>162</v>
      </c>
      <c r="K13" s="161"/>
    </row>
    <row r="14" spans="1:11" s="60" customFormat="1" ht="31.5" customHeight="1">
      <c r="A14" s="66" t="s">
        <v>171</v>
      </c>
      <c r="B14" s="242">
        <f>'Design Sheet'!F62</f>
        <v>4.68</v>
      </c>
      <c r="C14" s="243"/>
      <c r="K14" s="161"/>
    </row>
    <row r="15" spans="1:11" s="60" customFormat="1" ht="30" customHeight="1">
      <c r="A15" s="66" t="s">
        <v>181</v>
      </c>
      <c r="B15" s="68" t="str">
        <f>'Design Sheet'!D37</f>
        <v>64QAM - Low gain (50)</v>
      </c>
      <c r="C15" s="67" t="str">
        <f>'Design Sheet'!J37</f>
        <v>64QAM - Low gain (50)</v>
      </c>
      <c r="K15" s="161"/>
    </row>
    <row r="16" spans="1:11" s="60" customFormat="1" ht="30" customHeight="1">
      <c r="A16" s="66" t="s">
        <v>213</v>
      </c>
      <c r="B16" s="68" t="str">
        <f>IF(B24=12.5,"12K5D1D",IF(B24=25,"25K0D1D",IF(B24=50,"50K0D1D",)))</f>
        <v>50K0D1D</v>
      </c>
      <c r="C16" s="68" t="str">
        <f>IF(B24=12.5,"12K5D1D",IF(B24=25,"25K0D1D",IF(B24=50,"50K0D1D",)))</f>
        <v>50K0D1D</v>
      </c>
      <c r="K16" s="161"/>
    </row>
    <row r="17" spans="1:11" s="60" customFormat="1" ht="30" customHeight="1">
      <c r="A17" s="66" t="s">
        <v>134</v>
      </c>
      <c r="B17" s="68" t="str">
        <f>'Design Sheet'!D44</f>
        <v>BA80 Dipole Array</v>
      </c>
      <c r="C17" s="67" t="str">
        <f>'Design Sheet'!J44</f>
        <v>YBSS9</v>
      </c>
      <c r="K17" s="161"/>
    </row>
    <row r="18" spans="1:11" s="60" customFormat="1" ht="30" customHeight="1">
      <c r="A18" s="66" t="s">
        <v>144</v>
      </c>
      <c r="B18" s="68">
        <f>'Design Sheet'!D56</f>
        <v>20</v>
      </c>
      <c r="C18" s="68">
        <f>'Design Sheet'!J56</f>
        <v>10</v>
      </c>
      <c r="K18" s="161"/>
    </row>
    <row r="19" spans="1:3" s="60" customFormat="1" ht="30" customHeight="1">
      <c r="A19" s="66" t="s">
        <v>135</v>
      </c>
      <c r="B19" s="68" t="str">
        <f>'Design Sheet'!D58</f>
        <v>Free Standing</v>
      </c>
      <c r="C19" s="68" t="str">
        <f>'Design Sheet'!J58</f>
        <v>Free Standing</v>
      </c>
    </row>
    <row r="20" spans="1:19" s="60" customFormat="1" ht="49.5" customHeight="1">
      <c r="A20" s="66" t="s">
        <v>170</v>
      </c>
      <c r="B20" s="68">
        <f>-(SUM('Design Sheet'!F45:F48)+'Design Sheet'!F43)</f>
        <v>4.5</v>
      </c>
      <c r="C20" s="109">
        <f>-(SUM('Design Sheet'!L45:L48)+'Design Sheet'!L43)</f>
        <v>2</v>
      </c>
      <c r="O20" s="162"/>
      <c r="P20" s="162"/>
      <c r="Q20" s="162"/>
      <c r="R20" s="162"/>
      <c r="S20" s="162"/>
    </row>
    <row r="21" spans="1:19" s="60" customFormat="1" ht="49.5" customHeight="1">
      <c r="A21" s="66" t="s">
        <v>155</v>
      </c>
      <c r="B21" s="250" t="s">
        <v>157</v>
      </c>
      <c r="C21" s="251"/>
      <c r="O21" s="162"/>
      <c r="P21" s="162"/>
      <c r="Q21" s="162"/>
      <c r="R21" s="162"/>
      <c r="S21" s="162"/>
    </row>
    <row r="22" spans="1:19" s="60" customFormat="1" ht="30" customHeight="1">
      <c r="A22" s="66" t="s">
        <v>145</v>
      </c>
      <c r="B22" s="68">
        <f>'Design Sheet'!D49</f>
        <v>33</v>
      </c>
      <c r="C22" s="68">
        <f>'Design Sheet'!J49</f>
        <v>32</v>
      </c>
      <c r="O22" s="162"/>
      <c r="P22" s="162"/>
      <c r="Q22" s="162"/>
      <c r="R22" s="162"/>
      <c r="S22" s="162"/>
    </row>
    <row r="23" spans="1:3" s="60" customFormat="1" ht="48.75" customHeight="1">
      <c r="A23" s="66" t="s">
        <v>215</v>
      </c>
      <c r="B23" s="66">
        <f>VLOOKUP('PP Licence Details'!B15,RadioFull,3,FALSE)</f>
        <v>187.1</v>
      </c>
      <c r="C23" s="66">
        <f>VLOOKUP('PP Licence Details'!C15,RadioFull,3,FALSE)</f>
        <v>187.1</v>
      </c>
    </row>
    <row r="24" spans="1:3" s="60" customFormat="1" ht="49.5" customHeight="1">
      <c r="A24" s="66" t="s">
        <v>182</v>
      </c>
      <c r="B24" s="66">
        <f>VLOOKUP('PP Licence Details'!B15,RadioFull,4,FALSE)</f>
        <v>50</v>
      </c>
      <c r="C24" s="66" t="e">
        <f>VLOOKUP('PMP Licence Details'!C17,RadioFull,4,FALSE)</f>
        <v>#N/A</v>
      </c>
    </row>
    <row r="25" spans="1:3" s="60" customFormat="1" ht="30" customHeight="1">
      <c r="A25" s="66" t="s">
        <v>146</v>
      </c>
      <c r="B25" s="68">
        <f>'Design Sheet'!D40</f>
        <v>461</v>
      </c>
      <c r="C25" s="68">
        <f>'Design Sheet'!J40</f>
        <v>451</v>
      </c>
    </row>
    <row r="26" spans="1:3" s="60" customFormat="1" ht="49.5" customHeight="1">
      <c r="A26" s="66" t="s">
        <v>147</v>
      </c>
      <c r="B26" s="252" t="s">
        <v>180</v>
      </c>
      <c r="C26" s="253"/>
    </row>
    <row r="27" spans="1:3" s="60" customFormat="1" ht="30" customHeight="1">
      <c r="A27" s="110" t="s">
        <v>148</v>
      </c>
      <c r="B27" s="248">
        <v>230944</v>
      </c>
      <c r="C27" s="249"/>
    </row>
    <row r="28" spans="1:3" ht="64.5" customHeight="1">
      <c r="A28" s="111" t="s">
        <v>138</v>
      </c>
      <c r="B28" s="238" t="str">
        <f>IF(B22&gt;30,"The path is badly obstructed and will require +32 dBm TX power to achieve the required fade margin. The fixed losses at each end are 2 dB or more, as shown above, and the power into the antenna will be no more than 1W."," ")</f>
        <v>The path is badly obstructed and will require +32 dBm TX power to achieve the required fade margin. The fixed losses at each end are 2 dB or more, as shown above, and the power into the antenna will be no more than 1W.</v>
      </c>
      <c r="C28" s="239"/>
    </row>
    <row r="29" spans="1:3" ht="103.5" customHeight="1">
      <c r="A29" s="112"/>
      <c r="B29" s="240"/>
      <c r="C29" s="241"/>
    </row>
  </sheetData>
  <sheetProtection password="CB88" sheet="1" formatCells="0" selectLockedCells="1"/>
  <mergeCells count="8">
    <mergeCell ref="B28:C28"/>
    <mergeCell ref="B29:C29"/>
    <mergeCell ref="B14:C14"/>
    <mergeCell ref="A3:B3"/>
    <mergeCell ref="A2:B2"/>
    <mergeCell ref="B27:C27"/>
    <mergeCell ref="B21:C21"/>
    <mergeCell ref="B26:C26"/>
  </mergeCells>
  <printOptions/>
  <pageMargins left="0.75" right="0.7" top="0.6" bottom="1.11" header="0.5" footer="0.91"/>
  <pageSetup fitToHeight="1" fitToWidth="1" horizontalDpi="1200" verticalDpi="1200" orientation="portrait" paperSize="9" scale="63" r:id="rId2"/>
  <headerFooter alignWithMargins="0">
    <oddFooter>&amp;LTemplate Version 1 Revision 1&amp;RDate of Design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Infrastructure Design Branch</Manager>
  <Company>Water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UHF Design Template</dc:title>
  <dc:subject>SCADA Radio Design Standards</dc:subject>
  <dc:creator>Alan Haime</dc:creator>
  <cp:keywords/>
  <dc:description/>
  <cp:lastModifiedBy>Alex Blechynden</cp:lastModifiedBy>
  <cp:lastPrinted>2011-02-01T03:59:03Z</cp:lastPrinted>
  <dcterms:created xsi:type="dcterms:W3CDTF">2008-10-21T05:42:14Z</dcterms:created>
  <dcterms:modified xsi:type="dcterms:W3CDTF">2018-12-10T07:12:50Z</dcterms:modified>
  <cp:category/>
  <cp:version/>
  <cp:contentType/>
  <cp:contentStatus/>
</cp:coreProperties>
</file>